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 codeName="ЭтаКнига" defaultThemeVersion="124226"/>
  <xr:revisionPtr revIDLastSave="0" documentId="13_ncr:1_{06309B56-B981-4F85-B130-EA20D9752292}" xr6:coauthVersionLast="45" xr6:coauthVersionMax="47" xr10:uidLastSave="{00000000-0000-0000-0000-000000000000}"/>
  <workbookProtection workbookAlgorithmName="SHA-512" workbookHashValue="PxgfDrdoeD4fu+ytQDAk/cXVp6Q6prc1N6/arvuGzKvFHR2faCOZ2sqFV3NjIIJwVjYUj4kTfzijlBKqrtsJDw==" workbookSaltValue="EyA197YDlzd1LLFNIYJA2w==" workbookSpinCount="100000" lockStructure="1"/>
  <bookViews>
    <workbookView xWindow="-109" yWindow="-109" windowWidth="26301" windowHeight="14169" tabRatio="1000" firstSheet="2" activeTab="7" xr2:uid="{00000000-000D-0000-FFFF-FFFF00000000}"/>
  </bookViews>
  <sheets>
    <sheet name="ГЛАВНАЯ" sheetId="13" r:id="rId1"/>
    <sheet name="ЛП лоток перф" sheetId="2" r:id="rId2"/>
    <sheet name="ЛГ лоток глухой" sheetId="42" r:id="rId3"/>
    <sheet name="ЛП лоток перф (2)" sheetId="19" state="hidden" r:id="rId4"/>
    <sheet name="ЛГ лоток глухой (2)" sheetId="20" state="hidden" r:id="rId5"/>
    <sheet name="КЛ Крышка лотка" sheetId="12" r:id="rId6"/>
    <sheet name="Аксессуары (углы,повороты)" sheetId="11" r:id="rId7"/>
    <sheet name="Перегородка и заглушка" sheetId="41" r:id="rId8"/>
    <sheet name="НЛ Лестничный лоток" sheetId="7" r:id="rId9"/>
    <sheet name="Проволчный лоток" sheetId="6" r:id="rId10"/>
    <sheet name="КЛ Крышка лотка (2)" sheetId="21" state="hidden" r:id="rId11"/>
    <sheet name="Системы подвеса" sheetId="10" r:id="rId12"/>
    <sheet name="ГЭМ Полки,Стойки " sheetId="5" r:id="rId13"/>
    <sheet name="Полки,Стойки (2)" sheetId="22" state="hidden" r:id="rId14"/>
    <sheet name="Профиля U,Z,L" sheetId="4" r:id="rId15"/>
    <sheet name="Профиль (2)" sheetId="23" state="hidden" r:id="rId16"/>
    <sheet name="Аксессуары (2)" sheetId="24" state="hidden" r:id="rId17"/>
    <sheet name="Проволчный лоток (2)" sheetId="25" state="hidden" r:id="rId18"/>
    <sheet name="НЛ Лестничный лоток (2)" sheetId="26" state="hidden" r:id="rId19"/>
    <sheet name="Системы подвеса (2)" sheetId="27" state="hidden" r:id="rId20"/>
    <sheet name="Крепеж" sheetId="9" r:id="rId21"/>
    <sheet name="Страт-профиль" sheetId="34" r:id="rId22"/>
    <sheet name="Страт-стойки" sheetId="36" r:id="rId23"/>
    <sheet name="Страт-консоли" sheetId="35" r:id="rId24"/>
    <sheet name="Страт-монтажные элементы" sheetId="37" r:id="rId25"/>
    <sheet name="Пожарные шкафы" sheetId="38" state="hidden" r:id="rId26"/>
    <sheet name="Короба кабельные ККБ" sheetId="39" state="hidden" r:id="rId27"/>
    <sheet name="Щитовое оборудование" sheetId="40" state="hidden" r:id="rId28"/>
    <sheet name="Крепеж (2)" sheetId="28" state="hidden" r:id="rId29"/>
    <sheet name="Strut" sheetId="14" state="hidden" r:id="rId30"/>
    <sheet name="Strut (2)" sheetId="29" state="hidden" r:id="rId31"/>
    <sheet name="Стойки Strut " sheetId="15" state="hidden" r:id="rId32"/>
    <sheet name="Стойки Strut  (2)" sheetId="30" state="hidden" r:id="rId33"/>
    <sheet name="Кронштейны Strut" sheetId="16" state="hidden" r:id="rId34"/>
    <sheet name="Кронштейны Strut (2)" sheetId="31" state="hidden" r:id="rId35"/>
    <sheet name="Крепеж для Strut" sheetId="17" state="hidden" r:id="rId36"/>
    <sheet name="Крепеж для Strut (2)" sheetId="32" state="hidden" r:id="rId37"/>
    <sheet name="Цены на металл " sheetId="18" state="hidden" r:id="rId38"/>
    <sheet name="Соеденители" sheetId="33" state="hidden" r:id="rId39"/>
  </sheets>
  <definedNames>
    <definedName name="Угол_плоский" localSheetId="30">'Аксессуары (углы,повороты)'!#REF!</definedName>
    <definedName name="Угол_плоский" localSheetId="16">'Аксессуары (2)'!#REF!</definedName>
    <definedName name="Угол_плоский" localSheetId="10">'Аксессуары (углы,повороты)'!#REF!</definedName>
    <definedName name="Угол_плоский" localSheetId="28">'Аксессуары (углы,повороты)'!#REF!</definedName>
    <definedName name="Угол_плоский" localSheetId="36">'Аксессуары (углы,повороты)'!#REF!</definedName>
    <definedName name="Угол_плоский" localSheetId="34">'Аксессуары (углы,повороты)'!#REF!</definedName>
    <definedName name="Угол_плоский" localSheetId="4">'Аксессуары (углы,повороты)'!#REF!</definedName>
    <definedName name="Угол_плоский" localSheetId="3">'Аксессуары (углы,повороты)'!#REF!</definedName>
    <definedName name="Угол_плоский" localSheetId="18">'Аксессуары (углы,повороты)'!#REF!</definedName>
    <definedName name="Угол_плоский" localSheetId="7">'Перегородка и заглушка'!#REF!</definedName>
    <definedName name="Угол_плоский" localSheetId="13">'Аксессуары (углы,повороты)'!#REF!</definedName>
    <definedName name="Угол_плоский" localSheetId="17">'Аксессуары (углы,повороты)'!#REF!</definedName>
    <definedName name="Угол_плоский" localSheetId="15">'Аксессуары (углы,повороты)'!#REF!</definedName>
    <definedName name="Угол_плоский" localSheetId="19">'Аксессуары (углы,повороты)'!#REF!</definedName>
    <definedName name="Угол_плоский" localSheetId="32">'Аксессуары (углы,повороты)'!#REF!</definedName>
    <definedName name="Угол_плоский">'Аксессуары (углы,повороты)'!#REF!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" i="41" l="1"/>
  <c r="J6" i="41"/>
  <c r="J7" i="41"/>
  <c r="J8" i="41"/>
  <c r="J9" i="41"/>
  <c r="J10" i="41"/>
  <c r="J11" i="41"/>
  <c r="J4" i="41"/>
  <c r="I5" i="41"/>
  <c r="I6" i="41"/>
  <c r="I7" i="41"/>
  <c r="I8" i="41"/>
  <c r="I9" i="41"/>
  <c r="I10" i="41"/>
  <c r="I11" i="41"/>
  <c r="I4" i="41"/>
  <c r="H5" i="41"/>
  <c r="H6" i="41"/>
  <c r="H7" i="41"/>
  <c r="H8" i="41"/>
  <c r="H9" i="41"/>
  <c r="H10" i="41"/>
  <c r="H11" i="41"/>
  <c r="H4" i="41"/>
  <c r="C5" i="41"/>
  <c r="D5" i="41"/>
  <c r="E5" i="41"/>
  <c r="F5" i="41"/>
  <c r="G5" i="41"/>
  <c r="C6" i="41"/>
  <c r="D6" i="41"/>
  <c r="E6" i="41"/>
  <c r="F6" i="41"/>
  <c r="G6" i="41"/>
  <c r="C7" i="41"/>
  <c r="D7" i="41"/>
  <c r="E7" i="41"/>
  <c r="F7" i="41"/>
  <c r="G7" i="41"/>
  <c r="C8" i="41"/>
  <c r="D8" i="41"/>
  <c r="E8" i="41"/>
  <c r="F8" i="41"/>
  <c r="G8" i="41"/>
  <c r="C9" i="41"/>
  <c r="D9" i="41"/>
  <c r="E9" i="41"/>
  <c r="F9" i="41"/>
  <c r="G9" i="41"/>
  <c r="C10" i="41"/>
  <c r="D10" i="41"/>
  <c r="E10" i="41"/>
  <c r="F10" i="41"/>
  <c r="G10" i="41"/>
  <c r="C11" i="41"/>
  <c r="D11" i="41"/>
  <c r="E11" i="41"/>
  <c r="F11" i="41"/>
  <c r="G11" i="41"/>
  <c r="D4" i="41"/>
  <c r="E4" i="41"/>
  <c r="F4" i="41"/>
  <c r="G4" i="41"/>
  <c r="C4" i="41"/>
  <c r="B5" i="41"/>
  <c r="B6" i="41"/>
  <c r="B7" i="41"/>
  <c r="B8" i="41"/>
  <c r="B9" i="41"/>
  <c r="B10" i="41"/>
  <c r="B11" i="41"/>
  <c r="B4" i="41"/>
  <c r="C52" i="5" l="1"/>
  <c r="B52" i="5"/>
  <c r="B50" i="5"/>
  <c r="C48" i="5"/>
  <c r="B48" i="5"/>
  <c r="C46" i="5"/>
  <c r="B46" i="5"/>
  <c r="C45" i="5"/>
  <c r="B45" i="5"/>
  <c r="C44" i="5"/>
  <c r="B44" i="5"/>
  <c r="C43" i="5"/>
  <c r="B43" i="5"/>
  <c r="C42" i="5"/>
  <c r="B42" i="5"/>
  <c r="C41" i="5"/>
  <c r="B41" i="5"/>
  <c r="C40" i="5"/>
  <c r="B40" i="5"/>
  <c r="C39" i="5"/>
  <c r="B39" i="5"/>
  <c r="C37" i="5"/>
  <c r="B37" i="5"/>
  <c r="C36" i="5"/>
  <c r="B36" i="5"/>
  <c r="C35" i="5"/>
  <c r="B35" i="5"/>
  <c r="C34" i="5"/>
  <c r="B34" i="5"/>
  <c r="C33" i="5"/>
  <c r="B33" i="5"/>
  <c r="C32" i="5"/>
  <c r="B32" i="5"/>
  <c r="C31" i="5"/>
  <c r="B31" i="5"/>
  <c r="C30" i="5"/>
  <c r="B30" i="5"/>
  <c r="C28" i="5"/>
  <c r="B28" i="5"/>
  <c r="C27" i="5"/>
  <c r="B27" i="5"/>
  <c r="C26" i="5"/>
  <c r="B26" i="5"/>
  <c r="C25" i="5"/>
  <c r="B25" i="5"/>
  <c r="C24" i="5"/>
  <c r="B24" i="5"/>
  <c r="C22" i="5"/>
  <c r="B22" i="5"/>
  <c r="C21" i="5"/>
  <c r="B21" i="5"/>
  <c r="C20" i="5"/>
  <c r="B20" i="5"/>
  <c r="C19" i="5"/>
  <c r="B19" i="5"/>
  <c r="C18" i="5"/>
  <c r="B18" i="5"/>
  <c r="C16" i="5"/>
  <c r="B16" i="5"/>
  <c r="C15" i="5"/>
  <c r="B15" i="5"/>
  <c r="C14" i="5"/>
  <c r="B14" i="5"/>
  <c r="C13" i="5"/>
  <c r="B13" i="5"/>
  <c r="C12" i="5"/>
  <c r="B12" i="5"/>
  <c r="C11" i="5"/>
  <c r="B11" i="5"/>
  <c r="C9" i="5"/>
  <c r="C8" i="5"/>
  <c r="C7" i="5"/>
  <c r="C6" i="5"/>
  <c r="C5" i="5"/>
  <c r="C4" i="5"/>
  <c r="B5" i="5"/>
  <c r="B6" i="5"/>
  <c r="B7" i="5"/>
  <c r="B8" i="5"/>
  <c r="B9" i="5"/>
  <c r="B4" i="5"/>
  <c r="G108" i="10"/>
  <c r="E108" i="10"/>
  <c r="C108" i="10"/>
  <c r="G22" i="10"/>
  <c r="F22" i="10"/>
  <c r="E22" i="10"/>
  <c r="D22" i="10"/>
  <c r="C22" i="10"/>
  <c r="B22" i="10"/>
  <c r="G21" i="10"/>
  <c r="F21" i="10"/>
  <c r="E21" i="10"/>
  <c r="D21" i="10"/>
  <c r="C21" i="10"/>
  <c r="B21" i="10"/>
  <c r="G20" i="10"/>
  <c r="F20" i="10"/>
  <c r="E20" i="10"/>
  <c r="D20" i="10"/>
  <c r="C20" i="10"/>
  <c r="B20" i="10"/>
  <c r="G19" i="10"/>
  <c r="F19" i="10"/>
  <c r="E19" i="10"/>
  <c r="D19" i="10"/>
  <c r="C19" i="10"/>
  <c r="B19" i="10"/>
  <c r="G18" i="10"/>
  <c r="F18" i="10"/>
  <c r="E18" i="10"/>
  <c r="D18" i="10"/>
  <c r="C18" i="10"/>
  <c r="B18" i="10"/>
  <c r="G17" i="10"/>
  <c r="F17" i="10"/>
  <c r="E17" i="10"/>
  <c r="D17" i="10"/>
  <c r="C17" i="10"/>
  <c r="B17" i="10"/>
  <c r="G16" i="10"/>
  <c r="F16" i="10"/>
  <c r="E16" i="10"/>
  <c r="D16" i="10"/>
  <c r="C16" i="10"/>
  <c r="B16" i="10"/>
  <c r="G9" i="10"/>
  <c r="F9" i="10"/>
  <c r="E9" i="10"/>
  <c r="D9" i="10"/>
  <c r="C9" i="10"/>
  <c r="B9" i="10"/>
  <c r="G8" i="10"/>
  <c r="F8" i="10"/>
  <c r="E8" i="10"/>
  <c r="D8" i="10"/>
  <c r="C8" i="10"/>
  <c r="B8" i="10"/>
  <c r="G7" i="10"/>
  <c r="F7" i="10"/>
  <c r="E7" i="10"/>
  <c r="D7" i="10"/>
  <c r="C7" i="10"/>
  <c r="B7" i="10"/>
  <c r="G6" i="10"/>
  <c r="F6" i="10"/>
  <c r="E6" i="10"/>
  <c r="D6" i="10"/>
  <c r="C6" i="10"/>
  <c r="B6" i="10"/>
  <c r="G5" i="10"/>
  <c r="F5" i="10"/>
  <c r="E5" i="10"/>
  <c r="D5" i="10"/>
  <c r="C5" i="10"/>
  <c r="B5" i="10"/>
  <c r="G4" i="10"/>
  <c r="F4" i="10"/>
  <c r="E4" i="10"/>
  <c r="D4" i="10"/>
  <c r="C4" i="10"/>
  <c r="B4" i="10"/>
  <c r="G3" i="10"/>
  <c r="F3" i="10"/>
  <c r="E3" i="10"/>
  <c r="D3" i="10"/>
  <c r="C3" i="10"/>
  <c r="B3" i="10"/>
  <c r="J18" i="4"/>
  <c r="I18" i="4"/>
  <c r="H18" i="4"/>
  <c r="G18" i="4"/>
  <c r="F18" i="4"/>
  <c r="E18" i="4"/>
  <c r="J17" i="4"/>
  <c r="I17" i="4"/>
  <c r="H17" i="4"/>
  <c r="G17" i="4"/>
  <c r="F17" i="4"/>
  <c r="E17" i="4"/>
  <c r="J15" i="4"/>
  <c r="I15" i="4"/>
  <c r="H15" i="4"/>
  <c r="G15" i="4"/>
  <c r="F15" i="4"/>
  <c r="E15" i="4"/>
  <c r="J14" i="4"/>
  <c r="I14" i="4"/>
  <c r="H14" i="4"/>
  <c r="G14" i="4"/>
  <c r="F14" i="4"/>
  <c r="E14" i="4"/>
  <c r="J13" i="4"/>
  <c r="I13" i="4"/>
  <c r="H13" i="4"/>
  <c r="G13" i="4"/>
  <c r="F13" i="4"/>
  <c r="E13" i="4"/>
  <c r="J11" i="4"/>
  <c r="I11" i="4"/>
  <c r="H11" i="4"/>
  <c r="G11" i="4"/>
  <c r="F11" i="4"/>
  <c r="E11" i="4"/>
  <c r="J10" i="4"/>
  <c r="I10" i="4"/>
  <c r="H10" i="4"/>
  <c r="G10" i="4"/>
  <c r="F10" i="4"/>
  <c r="E10" i="4"/>
  <c r="J9" i="4"/>
  <c r="I9" i="4"/>
  <c r="H9" i="4"/>
  <c r="G9" i="4"/>
  <c r="F9" i="4"/>
  <c r="E9" i="4"/>
  <c r="J8" i="4"/>
  <c r="I8" i="4"/>
  <c r="H8" i="4"/>
  <c r="G8" i="4"/>
  <c r="F8" i="4"/>
  <c r="E8" i="4"/>
  <c r="J6" i="4"/>
  <c r="I6" i="4"/>
  <c r="H6" i="4"/>
  <c r="G6" i="4"/>
  <c r="F6" i="4"/>
  <c r="E6" i="4"/>
  <c r="J5" i="4"/>
  <c r="I5" i="4"/>
  <c r="H5" i="4"/>
  <c r="G5" i="4"/>
  <c r="F5" i="4"/>
  <c r="E5" i="4"/>
  <c r="J4" i="4"/>
  <c r="I4" i="4"/>
  <c r="H4" i="4"/>
  <c r="G4" i="4"/>
  <c r="F4" i="4"/>
  <c r="E4" i="4"/>
  <c r="B18" i="4"/>
  <c r="C18" i="4"/>
  <c r="D18" i="4"/>
  <c r="C17" i="4"/>
  <c r="D17" i="4"/>
  <c r="B17" i="4"/>
  <c r="B14" i="4"/>
  <c r="C14" i="4"/>
  <c r="D14" i="4"/>
  <c r="B15" i="4"/>
  <c r="C15" i="4"/>
  <c r="D15" i="4"/>
  <c r="C13" i="4"/>
  <c r="D13" i="4"/>
  <c r="B13" i="4"/>
  <c r="B9" i="4"/>
  <c r="C9" i="4"/>
  <c r="D9" i="4"/>
  <c r="B10" i="4"/>
  <c r="C10" i="4"/>
  <c r="D10" i="4"/>
  <c r="B11" i="4"/>
  <c r="C11" i="4"/>
  <c r="D11" i="4"/>
  <c r="C8" i="4"/>
  <c r="D8" i="4"/>
  <c r="B8" i="4"/>
  <c r="B5" i="4"/>
  <c r="C5" i="4"/>
  <c r="D5" i="4"/>
  <c r="B6" i="4"/>
  <c r="C6" i="4"/>
  <c r="D6" i="4"/>
  <c r="C4" i="4"/>
  <c r="D4" i="4"/>
  <c r="B4" i="4"/>
  <c r="J620" i="11"/>
  <c r="I620" i="11"/>
  <c r="H620" i="11"/>
  <c r="J619" i="11"/>
  <c r="I619" i="11"/>
  <c r="H619" i="11"/>
  <c r="J618" i="11"/>
  <c r="I618" i="11"/>
  <c r="H618" i="11"/>
  <c r="J617" i="11"/>
  <c r="I617" i="11"/>
  <c r="H617" i="11"/>
  <c r="J616" i="11"/>
  <c r="I616" i="11"/>
  <c r="H616" i="11"/>
  <c r="J615" i="11"/>
  <c r="I615" i="11"/>
  <c r="H615" i="11"/>
  <c r="J614" i="11"/>
  <c r="I614" i="11"/>
  <c r="H614" i="11"/>
  <c r="J613" i="11"/>
  <c r="I613" i="11"/>
  <c r="H613" i="11"/>
  <c r="J612" i="11"/>
  <c r="I612" i="11"/>
  <c r="H612" i="11"/>
  <c r="J611" i="11"/>
  <c r="I611" i="11"/>
  <c r="H611" i="11"/>
  <c r="J610" i="11"/>
  <c r="I610" i="11"/>
  <c r="H610" i="11"/>
  <c r="J609" i="11"/>
  <c r="I609" i="11"/>
  <c r="H609" i="11"/>
  <c r="J608" i="11"/>
  <c r="I608" i="11"/>
  <c r="H608" i="11"/>
  <c r="J607" i="11"/>
  <c r="I607" i="11"/>
  <c r="H607" i="11"/>
  <c r="J605" i="11"/>
  <c r="I605" i="11"/>
  <c r="H605" i="11"/>
  <c r="J604" i="11"/>
  <c r="I604" i="11"/>
  <c r="H604" i="11"/>
  <c r="J603" i="11"/>
  <c r="I603" i="11"/>
  <c r="H603" i="11"/>
  <c r="J602" i="11"/>
  <c r="I602" i="11"/>
  <c r="H602" i="11"/>
  <c r="J601" i="11"/>
  <c r="I601" i="11"/>
  <c r="H601" i="11"/>
  <c r="J600" i="11"/>
  <c r="I600" i="11"/>
  <c r="H600" i="11"/>
  <c r="J599" i="11"/>
  <c r="I599" i="11"/>
  <c r="H599" i="11"/>
  <c r="J598" i="11"/>
  <c r="I598" i="11"/>
  <c r="H598" i="11"/>
  <c r="J597" i="11"/>
  <c r="I597" i="11"/>
  <c r="H597" i="11"/>
  <c r="J596" i="11"/>
  <c r="I596" i="11"/>
  <c r="H596" i="11"/>
  <c r="J595" i="11"/>
  <c r="I595" i="11"/>
  <c r="H595" i="11"/>
  <c r="J594" i="11"/>
  <c r="I594" i="11"/>
  <c r="H594" i="11"/>
  <c r="J593" i="11"/>
  <c r="I593" i="11"/>
  <c r="H593" i="11"/>
  <c r="J592" i="11"/>
  <c r="I592" i="11"/>
  <c r="H592" i="11"/>
  <c r="J591" i="11"/>
  <c r="I591" i="11"/>
  <c r="H591" i="11"/>
  <c r="J590" i="11"/>
  <c r="I590" i="11"/>
  <c r="H590" i="11"/>
  <c r="J589" i="11"/>
  <c r="I589" i="11"/>
  <c r="H589" i="11"/>
  <c r="J588" i="11"/>
  <c r="I588" i="11"/>
  <c r="H588" i="11"/>
  <c r="J587" i="11"/>
  <c r="I587" i="11"/>
  <c r="H587" i="11"/>
  <c r="J586" i="11"/>
  <c r="I586" i="11"/>
  <c r="H586" i="11"/>
  <c r="J585" i="11"/>
  <c r="I585" i="11"/>
  <c r="H585" i="11"/>
  <c r="J584" i="11"/>
  <c r="I584" i="11"/>
  <c r="H584" i="11"/>
  <c r="J583" i="11"/>
  <c r="I583" i="11"/>
  <c r="H583" i="11"/>
  <c r="J582" i="11"/>
  <c r="I582" i="11"/>
  <c r="H582" i="11"/>
  <c r="J581" i="11"/>
  <c r="I581" i="11"/>
  <c r="H581" i="11"/>
  <c r="J580" i="11"/>
  <c r="I580" i="11"/>
  <c r="H580" i="11"/>
  <c r="J579" i="11"/>
  <c r="I579" i="11"/>
  <c r="H579" i="11"/>
  <c r="J578" i="11"/>
  <c r="I578" i="11"/>
  <c r="H578" i="11"/>
  <c r="J577" i="11"/>
  <c r="I577" i="11"/>
  <c r="H577" i="11"/>
  <c r="J576" i="11"/>
  <c r="I576" i="11"/>
  <c r="H576" i="11"/>
  <c r="J575" i="11"/>
  <c r="I575" i="11"/>
  <c r="H575" i="11"/>
  <c r="J574" i="11"/>
  <c r="I574" i="11"/>
  <c r="H574" i="11"/>
  <c r="J573" i="11"/>
  <c r="I573" i="11"/>
  <c r="H573" i="11"/>
  <c r="J572" i="11"/>
  <c r="I572" i="11"/>
  <c r="H572" i="11"/>
  <c r="J571" i="11"/>
  <c r="I571" i="11"/>
  <c r="H571" i="11"/>
  <c r="J570" i="11"/>
  <c r="I570" i="11"/>
  <c r="H570" i="11"/>
  <c r="J569" i="11"/>
  <c r="I569" i="11"/>
  <c r="H569" i="11"/>
  <c r="J568" i="11"/>
  <c r="I568" i="11"/>
  <c r="H568" i="11"/>
  <c r="J566" i="11"/>
  <c r="I566" i="11"/>
  <c r="H566" i="11"/>
  <c r="J565" i="11"/>
  <c r="I565" i="11"/>
  <c r="H565" i="11"/>
  <c r="J564" i="11"/>
  <c r="I564" i="11"/>
  <c r="H564" i="11"/>
  <c r="J563" i="11"/>
  <c r="I563" i="11"/>
  <c r="H563" i="11"/>
  <c r="J562" i="11"/>
  <c r="I562" i="11"/>
  <c r="H562" i="11"/>
  <c r="J561" i="11"/>
  <c r="I561" i="11"/>
  <c r="H561" i="11"/>
  <c r="J560" i="11"/>
  <c r="I560" i="11"/>
  <c r="H560" i="11"/>
  <c r="J559" i="11"/>
  <c r="I559" i="11"/>
  <c r="H559" i="11"/>
  <c r="J558" i="11"/>
  <c r="I558" i="11"/>
  <c r="H558" i="11"/>
  <c r="J557" i="11"/>
  <c r="I557" i="11"/>
  <c r="H557" i="11"/>
  <c r="J556" i="11"/>
  <c r="I556" i="11"/>
  <c r="H556" i="11"/>
  <c r="J555" i="11"/>
  <c r="I555" i="11"/>
  <c r="H555" i="11"/>
  <c r="J554" i="11"/>
  <c r="I554" i="11"/>
  <c r="H554" i="11"/>
  <c r="J553" i="11"/>
  <c r="I553" i="11"/>
  <c r="H553" i="11"/>
  <c r="J551" i="11"/>
  <c r="I551" i="11"/>
  <c r="H551" i="11"/>
  <c r="J550" i="11"/>
  <c r="I550" i="11"/>
  <c r="H550" i="11"/>
  <c r="J549" i="11"/>
  <c r="I549" i="11"/>
  <c r="H549" i="11"/>
  <c r="J548" i="11"/>
  <c r="I548" i="11"/>
  <c r="H548" i="11"/>
  <c r="J547" i="11"/>
  <c r="I547" i="11"/>
  <c r="H547" i="11"/>
  <c r="J546" i="11"/>
  <c r="I546" i="11"/>
  <c r="H546" i="11"/>
  <c r="J545" i="11"/>
  <c r="I545" i="11"/>
  <c r="H545" i="11"/>
  <c r="J544" i="11"/>
  <c r="I544" i="11"/>
  <c r="H544" i="11"/>
  <c r="J543" i="11"/>
  <c r="I543" i="11"/>
  <c r="H543" i="11"/>
  <c r="J542" i="11"/>
  <c r="I542" i="11"/>
  <c r="H542" i="11"/>
  <c r="J541" i="11"/>
  <c r="I541" i="11"/>
  <c r="H541" i="11"/>
  <c r="J540" i="11"/>
  <c r="I540" i="11"/>
  <c r="H540" i="11"/>
  <c r="J539" i="11"/>
  <c r="I539" i="11"/>
  <c r="H539" i="11"/>
  <c r="J538" i="11"/>
  <c r="I538" i="11"/>
  <c r="H538" i="11"/>
  <c r="J537" i="11"/>
  <c r="I537" i="11"/>
  <c r="H537" i="11"/>
  <c r="J536" i="11"/>
  <c r="I536" i="11"/>
  <c r="H536" i="11"/>
  <c r="J535" i="11"/>
  <c r="I535" i="11"/>
  <c r="H535" i="11"/>
  <c r="J534" i="11"/>
  <c r="I534" i="11"/>
  <c r="H534" i="11"/>
  <c r="J533" i="11"/>
  <c r="I533" i="11"/>
  <c r="H533" i="11"/>
  <c r="J532" i="11"/>
  <c r="I532" i="11"/>
  <c r="H532" i="11"/>
  <c r="J531" i="11"/>
  <c r="I531" i="11"/>
  <c r="H531" i="11"/>
  <c r="J530" i="11"/>
  <c r="I530" i="11"/>
  <c r="H530" i="11"/>
  <c r="J529" i="11"/>
  <c r="I529" i="11"/>
  <c r="H529" i="11"/>
  <c r="J528" i="11"/>
  <c r="I528" i="11"/>
  <c r="H528" i="11"/>
  <c r="J527" i="11"/>
  <c r="I527" i="11"/>
  <c r="H527" i="11"/>
  <c r="J526" i="11"/>
  <c r="I526" i="11"/>
  <c r="H526" i="11"/>
  <c r="J525" i="11"/>
  <c r="I525" i="11"/>
  <c r="H525" i="11"/>
  <c r="J524" i="11"/>
  <c r="I524" i="11"/>
  <c r="H524" i="11"/>
  <c r="J523" i="11"/>
  <c r="I523" i="11"/>
  <c r="H523" i="11"/>
  <c r="J522" i="11"/>
  <c r="I522" i="11"/>
  <c r="H522" i="11"/>
  <c r="J521" i="11"/>
  <c r="I521" i="11"/>
  <c r="H521" i="11"/>
  <c r="J520" i="11"/>
  <c r="I520" i="11"/>
  <c r="H520" i="11"/>
  <c r="J519" i="11"/>
  <c r="I519" i="11"/>
  <c r="H519" i="11"/>
  <c r="J518" i="11"/>
  <c r="I518" i="11"/>
  <c r="H518" i="11"/>
  <c r="J517" i="11"/>
  <c r="I517" i="11"/>
  <c r="H517" i="11"/>
  <c r="J516" i="11"/>
  <c r="I516" i="11"/>
  <c r="H516" i="11"/>
  <c r="J515" i="11"/>
  <c r="I515" i="11"/>
  <c r="H515" i="11"/>
  <c r="J514" i="11"/>
  <c r="I514" i="11"/>
  <c r="H514" i="11"/>
  <c r="J512" i="11"/>
  <c r="I512" i="11"/>
  <c r="H512" i="11"/>
  <c r="J511" i="11"/>
  <c r="I511" i="11"/>
  <c r="H511" i="11"/>
  <c r="J510" i="11"/>
  <c r="I510" i="11"/>
  <c r="H510" i="11"/>
  <c r="J509" i="11"/>
  <c r="I509" i="11"/>
  <c r="H509" i="11"/>
  <c r="J508" i="11"/>
  <c r="I508" i="11"/>
  <c r="H508" i="11"/>
  <c r="J507" i="11"/>
  <c r="I507" i="11"/>
  <c r="H507" i="11"/>
  <c r="J506" i="11"/>
  <c r="I506" i="11"/>
  <c r="H506" i="11"/>
  <c r="J505" i="11"/>
  <c r="I505" i="11"/>
  <c r="H505" i="11"/>
  <c r="J504" i="11"/>
  <c r="I504" i="11"/>
  <c r="H504" i="11"/>
  <c r="J503" i="11"/>
  <c r="I503" i="11"/>
  <c r="H503" i="11"/>
  <c r="J502" i="11"/>
  <c r="I502" i="11"/>
  <c r="H502" i="11"/>
  <c r="J501" i="11"/>
  <c r="I501" i="11"/>
  <c r="H501" i="11"/>
  <c r="J500" i="11"/>
  <c r="I500" i="11"/>
  <c r="H500" i="11"/>
  <c r="J499" i="11"/>
  <c r="I499" i="11"/>
  <c r="H499" i="11"/>
  <c r="J497" i="11"/>
  <c r="I497" i="11"/>
  <c r="H497" i="11"/>
  <c r="J496" i="11"/>
  <c r="I496" i="11"/>
  <c r="H496" i="11"/>
  <c r="J495" i="11"/>
  <c r="I495" i="11"/>
  <c r="H495" i="11"/>
  <c r="J494" i="11"/>
  <c r="I494" i="11"/>
  <c r="H494" i="11"/>
  <c r="J493" i="11"/>
  <c r="I493" i="11"/>
  <c r="H493" i="11"/>
  <c r="J492" i="11"/>
  <c r="I492" i="11"/>
  <c r="H492" i="11"/>
  <c r="J491" i="11"/>
  <c r="I491" i="11"/>
  <c r="H491" i="11"/>
  <c r="J490" i="11"/>
  <c r="I490" i="11"/>
  <c r="H490" i="11"/>
  <c r="J489" i="11"/>
  <c r="I489" i="11"/>
  <c r="H489" i="11"/>
  <c r="J488" i="11"/>
  <c r="I488" i="11"/>
  <c r="H488" i="11"/>
  <c r="J487" i="11"/>
  <c r="I487" i="11"/>
  <c r="H487" i="11"/>
  <c r="J486" i="11"/>
  <c r="I486" i="11"/>
  <c r="H486" i="11"/>
  <c r="J485" i="11"/>
  <c r="I485" i="11"/>
  <c r="H485" i="11"/>
  <c r="J484" i="11"/>
  <c r="I484" i="11"/>
  <c r="H484" i="11"/>
  <c r="J483" i="11"/>
  <c r="I483" i="11"/>
  <c r="H483" i="11"/>
  <c r="J482" i="11"/>
  <c r="I482" i="11"/>
  <c r="H482" i="11"/>
  <c r="J481" i="11"/>
  <c r="I481" i="11"/>
  <c r="H481" i="11"/>
  <c r="J480" i="11"/>
  <c r="I480" i="11"/>
  <c r="H480" i="11"/>
  <c r="J479" i="11"/>
  <c r="I479" i="11"/>
  <c r="H479" i="11"/>
  <c r="J478" i="11"/>
  <c r="I478" i="11"/>
  <c r="H478" i="11"/>
  <c r="J477" i="11"/>
  <c r="I477" i="11"/>
  <c r="H477" i="11"/>
  <c r="J476" i="11"/>
  <c r="I476" i="11"/>
  <c r="H476" i="11"/>
  <c r="J475" i="11"/>
  <c r="I475" i="11"/>
  <c r="H475" i="11"/>
  <c r="J474" i="11"/>
  <c r="I474" i="11"/>
  <c r="H474" i="11"/>
  <c r="J473" i="11"/>
  <c r="I473" i="11"/>
  <c r="H473" i="11"/>
  <c r="J472" i="11"/>
  <c r="I472" i="11"/>
  <c r="H472" i="11"/>
  <c r="J471" i="11"/>
  <c r="I471" i="11"/>
  <c r="H471" i="11"/>
  <c r="J470" i="11"/>
  <c r="I470" i="11"/>
  <c r="H470" i="11"/>
  <c r="J469" i="11"/>
  <c r="I469" i="11"/>
  <c r="H469" i="11"/>
  <c r="J468" i="11"/>
  <c r="I468" i="11"/>
  <c r="H468" i="11"/>
  <c r="J467" i="11"/>
  <c r="I467" i="11"/>
  <c r="H467" i="11"/>
  <c r="J466" i="11"/>
  <c r="I466" i="11"/>
  <c r="H466" i="11"/>
  <c r="J465" i="11"/>
  <c r="I465" i="11"/>
  <c r="H465" i="11"/>
  <c r="J464" i="11"/>
  <c r="I464" i="11"/>
  <c r="H464" i="11"/>
  <c r="J463" i="11"/>
  <c r="I463" i="11"/>
  <c r="H463" i="11"/>
  <c r="J462" i="11"/>
  <c r="I462" i="11"/>
  <c r="H462" i="11"/>
  <c r="J461" i="11"/>
  <c r="I461" i="11"/>
  <c r="H461" i="11"/>
  <c r="J460" i="11"/>
  <c r="I460" i="11"/>
  <c r="H460" i="11"/>
  <c r="J458" i="11"/>
  <c r="I458" i="11"/>
  <c r="H458" i="11"/>
  <c r="J457" i="11"/>
  <c r="I457" i="11"/>
  <c r="H457" i="11"/>
  <c r="J456" i="11"/>
  <c r="I456" i="11"/>
  <c r="H456" i="11"/>
  <c r="J455" i="11"/>
  <c r="I455" i="11"/>
  <c r="H455" i="11"/>
  <c r="J454" i="11"/>
  <c r="I454" i="11"/>
  <c r="H454" i="11"/>
  <c r="J453" i="11"/>
  <c r="I453" i="11"/>
  <c r="H453" i="11"/>
  <c r="J452" i="11"/>
  <c r="I452" i="11"/>
  <c r="H452" i="11"/>
  <c r="J451" i="11"/>
  <c r="I451" i="11"/>
  <c r="H451" i="11"/>
  <c r="J450" i="11"/>
  <c r="I450" i="11"/>
  <c r="H450" i="11"/>
  <c r="J448" i="11"/>
  <c r="I448" i="11"/>
  <c r="H448" i="11"/>
  <c r="J447" i="11"/>
  <c r="I447" i="11"/>
  <c r="H447" i="11"/>
  <c r="J446" i="11"/>
  <c r="I446" i="11"/>
  <c r="H446" i="11"/>
  <c r="J445" i="11"/>
  <c r="I445" i="11"/>
  <c r="H445" i="11"/>
  <c r="J444" i="11"/>
  <c r="I444" i="11"/>
  <c r="H444" i="11"/>
  <c r="J443" i="11"/>
  <c r="I443" i="11"/>
  <c r="H443" i="11"/>
  <c r="J442" i="11"/>
  <c r="I442" i="11"/>
  <c r="H442" i="11"/>
  <c r="J441" i="11"/>
  <c r="I441" i="11"/>
  <c r="H441" i="11"/>
  <c r="J440" i="11"/>
  <c r="I440" i="11"/>
  <c r="H440" i="11"/>
  <c r="J439" i="11"/>
  <c r="I439" i="11"/>
  <c r="H439" i="11"/>
  <c r="J438" i="11"/>
  <c r="I438" i="11"/>
  <c r="H438" i="11"/>
  <c r="J437" i="11"/>
  <c r="I437" i="11"/>
  <c r="H437" i="11"/>
  <c r="J436" i="11"/>
  <c r="I436" i="11"/>
  <c r="H436" i="11"/>
  <c r="J435" i="11"/>
  <c r="I435" i="11"/>
  <c r="H435" i="11"/>
  <c r="J434" i="11"/>
  <c r="I434" i="11"/>
  <c r="H434" i="11"/>
  <c r="J433" i="11"/>
  <c r="I433" i="11"/>
  <c r="H433" i="11"/>
  <c r="J432" i="11"/>
  <c r="I432" i="11"/>
  <c r="H432" i="11"/>
  <c r="J431" i="11"/>
  <c r="I431" i="11"/>
  <c r="H431" i="11"/>
  <c r="J430" i="11"/>
  <c r="I430" i="11"/>
  <c r="H430" i="11"/>
  <c r="J429" i="11"/>
  <c r="I429" i="11"/>
  <c r="H429" i="11"/>
  <c r="J428" i="11"/>
  <c r="I428" i="11"/>
  <c r="H428" i="11"/>
  <c r="J427" i="11"/>
  <c r="I427" i="11"/>
  <c r="H427" i="11"/>
  <c r="J426" i="11"/>
  <c r="I426" i="11"/>
  <c r="H426" i="11"/>
  <c r="J425" i="11"/>
  <c r="I425" i="11"/>
  <c r="H425" i="11"/>
  <c r="J424" i="11"/>
  <c r="I424" i="11"/>
  <c r="H424" i="11"/>
  <c r="J423" i="11"/>
  <c r="I423" i="11"/>
  <c r="H423" i="11"/>
  <c r="J422" i="11"/>
  <c r="I422" i="11"/>
  <c r="H422" i="11"/>
  <c r="J421" i="11"/>
  <c r="I421" i="11"/>
  <c r="H421" i="11"/>
  <c r="J420" i="11"/>
  <c r="I420" i="11"/>
  <c r="H420" i="11"/>
  <c r="J419" i="11"/>
  <c r="I419" i="11"/>
  <c r="H419" i="11"/>
  <c r="J418" i="11"/>
  <c r="I418" i="11"/>
  <c r="H418" i="11"/>
  <c r="J417" i="11"/>
  <c r="I417" i="11"/>
  <c r="H417" i="11"/>
  <c r="J416" i="11"/>
  <c r="I416" i="11"/>
  <c r="H416" i="11"/>
  <c r="J415" i="11"/>
  <c r="I415" i="11"/>
  <c r="H415" i="11"/>
  <c r="J414" i="11"/>
  <c r="I414" i="11"/>
  <c r="H414" i="11"/>
  <c r="J413" i="11"/>
  <c r="I413" i="11"/>
  <c r="H413" i="11"/>
  <c r="J412" i="11"/>
  <c r="I412" i="11"/>
  <c r="H412" i="11"/>
  <c r="J411" i="11"/>
  <c r="I411" i="11"/>
  <c r="H411" i="11"/>
  <c r="J410" i="11"/>
  <c r="I410" i="11"/>
  <c r="H410" i="11"/>
  <c r="J409" i="11"/>
  <c r="I409" i="11"/>
  <c r="H409" i="11"/>
  <c r="J408" i="11"/>
  <c r="I408" i="11"/>
  <c r="H408" i="11"/>
  <c r="J407" i="11"/>
  <c r="I407" i="11"/>
  <c r="H407" i="11"/>
  <c r="J406" i="11"/>
  <c r="I406" i="11"/>
  <c r="H406" i="11"/>
  <c r="J405" i="11"/>
  <c r="I405" i="11"/>
  <c r="H405" i="11"/>
  <c r="J404" i="11"/>
  <c r="I404" i="11"/>
  <c r="H404" i="11"/>
  <c r="J403" i="11"/>
  <c r="I403" i="11"/>
  <c r="H403" i="11"/>
  <c r="J401" i="11"/>
  <c r="I401" i="11"/>
  <c r="H401" i="11"/>
  <c r="J400" i="11"/>
  <c r="I400" i="11"/>
  <c r="H400" i="11"/>
  <c r="J399" i="11"/>
  <c r="I399" i="11"/>
  <c r="H399" i="11"/>
  <c r="J398" i="11"/>
  <c r="I398" i="11"/>
  <c r="H398" i="11"/>
  <c r="J397" i="11"/>
  <c r="I397" i="11"/>
  <c r="H397" i="11"/>
  <c r="J396" i="11"/>
  <c r="I396" i="11"/>
  <c r="H396" i="11"/>
  <c r="J395" i="11"/>
  <c r="I395" i="11"/>
  <c r="H395" i="11"/>
  <c r="J394" i="11"/>
  <c r="I394" i="11"/>
  <c r="H394" i="11"/>
  <c r="J393" i="11"/>
  <c r="I393" i="11"/>
  <c r="H393" i="11"/>
  <c r="J391" i="11"/>
  <c r="I391" i="11"/>
  <c r="H391" i="11"/>
  <c r="J390" i="11"/>
  <c r="I390" i="11"/>
  <c r="H390" i="11"/>
  <c r="J389" i="11"/>
  <c r="I389" i="11"/>
  <c r="H389" i="11"/>
  <c r="J388" i="11"/>
  <c r="I388" i="11"/>
  <c r="H388" i="11"/>
  <c r="J387" i="11"/>
  <c r="I387" i="11"/>
  <c r="H387" i="11"/>
  <c r="J386" i="11"/>
  <c r="I386" i="11"/>
  <c r="H386" i="11"/>
  <c r="J385" i="11"/>
  <c r="I385" i="11"/>
  <c r="H385" i="11"/>
  <c r="J384" i="11"/>
  <c r="I384" i="11"/>
  <c r="H384" i="11"/>
  <c r="J383" i="11"/>
  <c r="I383" i="11"/>
  <c r="H383" i="11"/>
  <c r="J382" i="11"/>
  <c r="I382" i="11"/>
  <c r="H382" i="11"/>
  <c r="J381" i="11"/>
  <c r="I381" i="11"/>
  <c r="H381" i="11"/>
  <c r="J380" i="11"/>
  <c r="I380" i="11"/>
  <c r="H380" i="11"/>
  <c r="J379" i="11"/>
  <c r="I379" i="11"/>
  <c r="H379" i="11"/>
  <c r="J378" i="11"/>
  <c r="I378" i="11"/>
  <c r="H378" i="11"/>
  <c r="J377" i="11"/>
  <c r="I377" i="11"/>
  <c r="H377" i="11"/>
  <c r="J376" i="11"/>
  <c r="I376" i="11"/>
  <c r="H376" i="11"/>
  <c r="J375" i="11"/>
  <c r="I375" i="11"/>
  <c r="H375" i="11"/>
  <c r="J374" i="11"/>
  <c r="I374" i="11"/>
  <c r="H374" i="11"/>
  <c r="J373" i="11"/>
  <c r="I373" i="11"/>
  <c r="H373" i="11"/>
  <c r="J372" i="11"/>
  <c r="I372" i="11"/>
  <c r="H372" i="11"/>
  <c r="J371" i="11"/>
  <c r="I371" i="11"/>
  <c r="H371" i="11"/>
  <c r="J370" i="11"/>
  <c r="I370" i="11"/>
  <c r="H370" i="11"/>
  <c r="J369" i="11"/>
  <c r="I369" i="11"/>
  <c r="H369" i="11"/>
  <c r="J368" i="11"/>
  <c r="I368" i="11"/>
  <c r="H368" i="11"/>
  <c r="J367" i="11"/>
  <c r="I367" i="11"/>
  <c r="H367" i="11"/>
  <c r="J366" i="11"/>
  <c r="I366" i="11"/>
  <c r="H366" i="11"/>
  <c r="J365" i="11"/>
  <c r="I365" i="11"/>
  <c r="H365" i="11"/>
  <c r="J364" i="11"/>
  <c r="I364" i="11"/>
  <c r="H364" i="11"/>
  <c r="J363" i="11"/>
  <c r="I363" i="11"/>
  <c r="H363" i="11"/>
  <c r="J362" i="11"/>
  <c r="I362" i="11"/>
  <c r="H362" i="11"/>
  <c r="J361" i="11"/>
  <c r="I361" i="11"/>
  <c r="H361" i="11"/>
  <c r="J360" i="11"/>
  <c r="I360" i="11"/>
  <c r="H360" i="11"/>
  <c r="J359" i="11"/>
  <c r="I359" i="11"/>
  <c r="H359" i="11"/>
  <c r="J358" i="11"/>
  <c r="I358" i="11"/>
  <c r="H358" i="11"/>
  <c r="J357" i="11"/>
  <c r="I357" i="11"/>
  <c r="H357" i="11"/>
  <c r="J356" i="11"/>
  <c r="I356" i="11"/>
  <c r="H356" i="11"/>
  <c r="J355" i="11"/>
  <c r="I355" i="11"/>
  <c r="H355" i="11"/>
  <c r="J354" i="11"/>
  <c r="I354" i="11"/>
  <c r="H354" i="11"/>
  <c r="J353" i="11"/>
  <c r="I353" i="11"/>
  <c r="H353" i="11"/>
  <c r="J352" i="11"/>
  <c r="I352" i="11"/>
  <c r="H352" i="11"/>
  <c r="J351" i="11"/>
  <c r="I351" i="11"/>
  <c r="H351" i="11"/>
  <c r="J350" i="11"/>
  <c r="I350" i="11"/>
  <c r="H350" i="11"/>
  <c r="J349" i="11"/>
  <c r="I349" i="11"/>
  <c r="H349" i="11"/>
  <c r="J348" i="11"/>
  <c r="I348" i="11"/>
  <c r="H348" i="11"/>
  <c r="J347" i="11"/>
  <c r="I347" i="11"/>
  <c r="H347" i="11"/>
  <c r="J346" i="11"/>
  <c r="I346" i="11"/>
  <c r="H346" i="11"/>
  <c r="J344" i="11"/>
  <c r="I344" i="11"/>
  <c r="H344" i="11"/>
  <c r="J343" i="11"/>
  <c r="I343" i="11"/>
  <c r="H343" i="11"/>
  <c r="J342" i="11"/>
  <c r="I342" i="11"/>
  <c r="H342" i="11"/>
  <c r="J341" i="11"/>
  <c r="I341" i="11"/>
  <c r="H341" i="11"/>
  <c r="J340" i="11"/>
  <c r="I340" i="11"/>
  <c r="H340" i="11"/>
  <c r="J339" i="11"/>
  <c r="I339" i="11"/>
  <c r="H339" i="11"/>
  <c r="J338" i="11"/>
  <c r="I338" i="11"/>
  <c r="H338" i="11"/>
  <c r="J337" i="11"/>
  <c r="I337" i="11"/>
  <c r="H337" i="11"/>
  <c r="J336" i="11"/>
  <c r="I336" i="11"/>
  <c r="H336" i="11"/>
  <c r="H290" i="11"/>
  <c r="I290" i="11"/>
  <c r="J290" i="11"/>
  <c r="H291" i="11"/>
  <c r="I291" i="11"/>
  <c r="J291" i="11"/>
  <c r="H292" i="11"/>
  <c r="I292" i="11"/>
  <c r="J292" i="11"/>
  <c r="H293" i="11"/>
  <c r="I293" i="11"/>
  <c r="J293" i="11"/>
  <c r="H294" i="11"/>
  <c r="I294" i="11"/>
  <c r="J294" i="11"/>
  <c r="H295" i="11"/>
  <c r="I295" i="11"/>
  <c r="J295" i="11"/>
  <c r="H296" i="11"/>
  <c r="I296" i="11"/>
  <c r="J296" i="11"/>
  <c r="H297" i="11"/>
  <c r="I297" i="11"/>
  <c r="J297" i="11"/>
  <c r="H298" i="11"/>
  <c r="I298" i="11"/>
  <c r="J298" i="11"/>
  <c r="H299" i="11"/>
  <c r="I299" i="11"/>
  <c r="J299" i="11"/>
  <c r="H300" i="11"/>
  <c r="I300" i="11"/>
  <c r="J300" i="11"/>
  <c r="H301" i="11"/>
  <c r="I301" i="11"/>
  <c r="J301" i="11"/>
  <c r="H302" i="11"/>
  <c r="I302" i="11"/>
  <c r="J302" i="11"/>
  <c r="H303" i="11"/>
  <c r="I303" i="11"/>
  <c r="J303" i="11"/>
  <c r="H304" i="11"/>
  <c r="I304" i="11"/>
  <c r="J304" i="11"/>
  <c r="H305" i="11"/>
  <c r="I305" i="11"/>
  <c r="J305" i="11"/>
  <c r="H306" i="11"/>
  <c r="I306" i="11"/>
  <c r="J306" i="11"/>
  <c r="H307" i="11"/>
  <c r="I307" i="11"/>
  <c r="J307" i="11"/>
  <c r="H308" i="11"/>
  <c r="I308" i="11"/>
  <c r="J308" i="11"/>
  <c r="H309" i="11"/>
  <c r="I309" i="11"/>
  <c r="J309" i="11"/>
  <c r="H310" i="11"/>
  <c r="I310" i="11"/>
  <c r="J310" i="11"/>
  <c r="H311" i="11"/>
  <c r="I311" i="11"/>
  <c r="J311" i="11"/>
  <c r="H312" i="11"/>
  <c r="I312" i="11"/>
  <c r="J312" i="11"/>
  <c r="H313" i="11"/>
  <c r="I313" i="11"/>
  <c r="J313" i="11"/>
  <c r="H314" i="11"/>
  <c r="I314" i="11"/>
  <c r="J314" i="11"/>
  <c r="H315" i="11"/>
  <c r="I315" i="11"/>
  <c r="J315" i="11"/>
  <c r="H316" i="11"/>
  <c r="I316" i="11"/>
  <c r="J316" i="11"/>
  <c r="H317" i="11"/>
  <c r="I317" i="11"/>
  <c r="J317" i="11"/>
  <c r="H318" i="11"/>
  <c r="I318" i="11"/>
  <c r="J318" i="11"/>
  <c r="H319" i="11"/>
  <c r="I319" i="11"/>
  <c r="J319" i="11"/>
  <c r="H320" i="11"/>
  <c r="I320" i="11"/>
  <c r="J320" i="11"/>
  <c r="H321" i="11"/>
  <c r="I321" i="11"/>
  <c r="J321" i="11"/>
  <c r="H322" i="11"/>
  <c r="I322" i="11"/>
  <c r="J322" i="11"/>
  <c r="H323" i="11"/>
  <c r="I323" i="11"/>
  <c r="J323" i="11"/>
  <c r="H324" i="11"/>
  <c r="I324" i="11"/>
  <c r="J324" i="11"/>
  <c r="H325" i="11"/>
  <c r="I325" i="11"/>
  <c r="J325" i="11"/>
  <c r="H326" i="11"/>
  <c r="I326" i="11"/>
  <c r="J326" i="11"/>
  <c r="H327" i="11"/>
  <c r="I327" i="11"/>
  <c r="J327" i="11"/>
  <c r="H328" i="11"/>
  <c r="I328" i="11"/>
  <c r="J328" i="11"/>
  <c r="H329" i="11"/>
  <c r="I329" i="11"/>
  <c r="J329" i="11"/>
  <c r="H330" i="11"/>
  <c r="I330" i="11"/>
  <c r="J330" i="11"/>
  <c r="H331" i="11"/>
  <c r="I331" i="11"/>
  <c r="J331" i="11"/>
  <c r="H332" i="11"/>
  <c r="I332" i="11"/>
  <c r="J332" i="11"/>
  <c r="H333" i="11"/>
  <c r="I333" i="11"/>
  <c r="J333" i="11"/>
  <c r="H334" i="11"/>
  <c r="I334" i="11"/>
  <c r="J334" i="11"/>
  <c r="J289" i="11"/>
  <c r="I289" i="11"/>
  <c r="H289" i="11"/>
  <c r="H280" i="11"/>
  <c r="I280" i="11"/>
  <c r="J280" i="11"/>
  <c r="H281" i="11"/>
  <c r="I281" i="11"/>
  <c r="J281" i="11"/>
  <c r="H282" i="11"/>
  <c r="I282" i="11"/>
  <c r="J282" i="11"/>
  <c r="H283" i="11"/>
  <c r="I283" i="11"/>
  <c r="J283" i="11"/>
  <c r="H284" i="11"/>
  <c r="I284" i="11"/>
  <c r="J284" i="11"/>
  <c r="H285" i="11"/>
  <c r="I285" i="11"/>
  <c r="J285" i="11"/>
  <c r="H286" i="11"/>
  <c r="I286" i="11"/>
  <c r="J286" i="11"/>
  <c r="H287" i="11"/>
  <c r="I287" i="11"/>
  <c r="J287" i="11"/>
  <c r="J279" i="11"/>
  <c r="I279" i="11"/>
  <c r="H279" i="11"/>
  <c r="H233" i="11"/>
  <c r="I233" i="11"/>
  <c r="J233" i="11"/>
  <c r="H234" i="11"/>
  <c r="I234" i="11"/>
  <c r="J234" i="11"/>
  <c r="H235" i="11"/>
  <c r="I235" i="11"/>
  <c r="J235" i="11"/>
  <c r="H236" i="11"/>
  <c r="I236" i="11"/>
  <c r="J236" i="11"/>
  <c r="H237" i="11"/>
  <c r="I237" i="11"/>
  <c r="J237" i="11"/>
  <c r="H238" i="11"/>
  <c r="I238" i="11"/>
  <c r="J238" i="11"/>
  <c r="H239" i="11"/>
  <c r="I239" i="11"/>
  <c r="J239" i="11"/>
  <c r="H240" i="11"/>
  <c r="I240" i="11"/>
  <c r="J240" i="11"/>
  <c r="H241" i="11"/>
  <c r="I241" i="11"/>
  <c r="J241" i="11"/>
  <c r="H242" i="11"/>
  <c r="I242" i="11"/>
  <c r="J242" i="11"/>
  <c r="H243" i="11"/>
  <c r="I243" i="11"/>
  <c r="J243" i="11"/>
  <c r="H244" i="11"/>
  <c r="I244" i="11"/>
  <c r="J244" i="11"/>
  <c r="H245" i="11"/>
  <c r="I245" i="11"/>
  <c r="J245" i="11"/>
  <c r="H246" i="11"/>
  <c r="I246" i="11"/>
  <c r="J246" i="11"/>
  <c r="H247" i="11"/>
  <c r="I247" i="11"/>
  <c r="J247" i="11"/>
  <c r="H248" i="11"/>
  <c r="I248" i="11"/>
  <c r="J248" i="11"/>
  <c r="H249" i="11"/>
  <c r="I249" i="11"/>
  <c r="J249" i="11"/>
  <c r="H250" i="11"/>
  <c r="I250" i="11"/>
  <c r="J250" i="11"/>
  <c r="H251" i="11"/>
  <c r="I251" i="11"/>
  <c r="J251" i="11"/>
  <c r="H252" i="11"/>
  <c r="I252" i="11"/>
  <c r="J252" i="11"/>
  <c r="H253" i="11"/>
  <c r="I253" i="11"/>
  <c r="J253" i="11"/>
  <c r="H254" i="11"/>
  <c r="I254" i="11"/>
  <c r="J254" i="11"/>
  <c r="H255" i="11"/>
  <c r="I255" i="11"/>
  <c r="J255" i="11"/>
  <c r="H256" i="11"/>
  <c r="I256" i="11"/>
  <c r="J256" i="11"/>
  <c r="H257" i="11"/>
  <c r="I257" i="11"/>
  <c r="J257" i="11"/>
  <c r="H258" i="11"/>
  <c r="I258" i="11"/>
  <c r="J258" i="11"/>
  <c r="H259" i="11"/>
  <c r="I259" i="11"/>
  <c r="J259" i="11"/>
  <c r="H260" i="11"/>
  <c r="I260" i="11"/>
  <c r="J260" i="11"/>
  <c r="H261" i="11"/>
  <c r="I261" i="11"/>
  <c r="J261" i="11"/>
  <c r="H262" i="11"/>
  <c r="I262" i="11"/>
  <c r="J262" i="11"/>
  <c r="H263" i="11"/>
  <c r="I263" i="11"/>
  <c r="J263" i="11"/>
  <c r="H264" i="11"/>
  <c r="I264" i="11"/>
  <c r="J264" i="11"/>
  <c r="H265" i="11"/>
  <c r="I265" i="11"/>
  <c r="J265" i="11"/>
  <c r="H266" i="11"/>
  <c r="I266" i="11"/>
  <c r="J266" i="11"/>
  <c r="H267" i="11"/>
  <c r="I267" i="11"/>
  <c r="J267" i="11"/>
  <c r="H268" i="11"/>
  <c r="I268" i="11"/>
  <c r="J268" i="11"/>
  <c r="H269" i="11"/>
  <c r="I269" i="11"/>
  <c r="J269" i="11"/>
  <c r="H270" i="11"/>
  <c r="I270" i="11"/>
  <c r="J270" i="11"/>
  <c r="H271" i="11"/>
  <c r="I271" i="11"/>
  <c r="J271" i="11"/>
  <c r="H272" i="11"/>
  <c r="I272" i="11"/>
  <c r="J272" i="11"/>
  <c r="H273" i="11"/>
  <c r="I273" i="11"/>
  <c r="J273" i="11"/>
  <c r="H274" i="11"/>
  <c r="I274" i="11"/>
  <c r="J274" i="11"/>
  <c r="H275" i="11"/>
  <c r="I275" i="11"/>
  <c r="J275" i="11"/>
  <c r="H276" i="11"/>
  <c r="I276" i="11"/>
  <c r="J276" i="11"/>
  <c r="H277" i="11"/>
  <c r="I277" i="11"/>
  <c r="J277" i="11"/>
  <c r="J232" i="11"/>
  <c r="I232" i="11"/>
  <c r="H232" i="11"/>
  <c r="H223" i="11"/>
  <c r="I223" i="11"/>
  <c r="J223" i="11"/>
  <c r="H224" i="11"/>
  <c r="I224" i="11"/>
  <c r="J224" i="11"/>
  <c r="H225" i="11"/>
  <c r="I225" i="11"/>
  <c r="J225" i="11"/>
  <c r="H226" i="11"/>
  <c r="I226" i="11"/>
  <c r="J226" i="11"/>
  <c r="H227" i="11"/>
  <c r="I227" i="11"/>
  <c r="J227" i="11"/>
  <c r="H228" i="11"/>
  <c r="I228" i="11"/>
  <c r="J228" i="11"/>
  <c r="H229" i="11"/>
  <c r="I229" i="11"/>
  <c r="J229" i="11"/>
  <c r="H230" i="11"/>
  <c r="I230" i="11"/>
  <c r="J230" i="11"/>
  <c r="J222" i="11"/>
  <c r="I222" i="11"/>
  <c r="H222" i="11"/>
  <c r="H176" i="11"/>
  <c r="I176" i="11"/>
  <c r="J176" i="11"/>
  <c r="H177" i="11"/>
  <c r="I177" i="11"/>
  <c r="J177" i="11"/>
  <c r="H178" i="11"/>
  <c r="I178" i="11"/>
  <c r="J178" i="11"/>
  <c r="H179" i="11"/>
  <c r="I179" i="11"/>
  <c r="J179" i="11"/>
  <c r="H180" i="11"/>
  <c r="I180" i="11"/>
  <c r="J180" i="11"/>
  <c r="H181" i="11"/>
  <c r="I181" i="11"/>
  <c r="J181" i="11"/>
  <c r="H182" i="11"/>
  <c r="I182" i="11"/>
  <c r="J182" i="11"/>
  <c r="H183" i="11"/>
  <c r="I183" i="11"/>
  <c r="J183" i="11"/>
  <c r="H184" i="11"/>
  <c r="I184" i="11"/>
  <c r="J184" i="11"/>
  <c r="H185" i="11"/>
  <c r="I185" i="11"/>
  <c r="J185" i="11"/>
  <c r="H186" i="11"/>
  <c r="I186" i="11"/>
  <c r="J186" i="11"/>
  <c r="H187" i="11"/>
  <c r="I187" i="11"/>
  <c r="J187" i="11"/>
  <c r="H188" i="11"/>
  <c r="I188" i="11"/>
  <c r="J188" i="11"/>
  <c r="H189" i="11"/>
  <c r="I189" i="11"/>
  <c r="J189" i="11"/>
  <c r="H190" i="11"/>
  <c r="I190" i="11"/>
  <c r="J190" i="11"/>
  <c r="H191" i="11"/>
  <c r="I191" i="11"/>
  <c r="J191" i="11"/>
  <c r="H192" i="11"/>
  <c r="I192" i="11"/>
  <c r="J192" i="11"/>
  <c r="H193" i="11"/>
  <c r="I193" i="11"/>
  <c r="J193" i="11"/>
  <c r="H194" i="11"/>
  <c r="I194" i="11"/>
  <c r="J194" i="11"/>
  <c r="H195" i="11"/>
  <c r="I195" i="11"/>
  <c r="J195" i="11"/>
  <c r="H196" i="11"/>
  <c r="I196" i="11"/>
  <c r="J196" i="11"/>
  <c r="H197" i="11"/>
  <c r="I197" i="11"/>
  <c r="J197" i="11"/>
  <c r="H198" i="11"/>
  <c r="I198" i="11"/>
  <c r="J198" i="11"/>
  <c r="H199" i="11"/>
  <c r="I199" i="11"/>
  <c r="J199" i="11"/>
  <c r="H200" i="11"/>
  <c r="I200" i="11"/>
  <c r="J200" i="11"/>
  <c r="H201" i="11"/>
  <c r="I201" i="11"/>
  <c r="J201" i="11"/>
  <c r="H202" i="11"/>
  <c r="I202" i="11"/>
  <c r="J202" i="11"/>
  <c r="H203" i="11"/>
  <c r="I203" i="11"/>
  <c r="J203" i="11"/>
  <c r="H204" i="11"/>
  <c r="I204" i="11"/>
  <c r="J204" i="11"/>
  <c r="H205" i="11"/>
  <c r="I205" i="11"/>
  <c r="J205" i="11"/>
  <c r="H206" i="11"/>
  <c r="I206" i="11"/>
  <c r="J206" i="11"/>
  <c r="H207" i="11"/>
  <c r="I207" i="11"/>
  <c r="J207" i="11"/>
  <c r="H208" i="11"/>
  <c r="I208" i="11"/>
  <c r="J208" i="11"/>
  <c r="H209" i="11"/>
  <c r="I209" i="11"/>
  <c r="J209" i="11"/>
  <c r="H210" i="11"/>
  <c r="I210" i="11"/>
  <c r="J210" i="11"/>
  <c r="H211" i="11"/>
  <c r="I211" i="11"/>
  <c r="J211" i="11"/>
  <c r="H212" i="11"/>
  <c r="I212" i="11"/>
  <c r="J212" i="11"/>
  <c r="H213" i="11"/>
  <c r="I213" i="11"/>
  <c r="J213" i="11"/>
  <c r="H214" i="11"/>
  <c r="I214" i="11"/>
  <c r="J214" i="11"/>
  <c r="H215" i="11"/>
  <c r="I215" i="11"/>
  <c r="J215" i="11"/>
  <c r="H216" i="11"/>
  <c r="I216" i="11"/>
  <c r="J216" i="11"/>
  <c r="H217" i="11"/>
  <c r="I217" i="11"/>
  <c r="J217" i="11"/>
  <c r="H218" i="11"/>
  <c r="I218" i="11"/>
  <c r="J218" i="11"/>
  <c r="H219" i="11"/>
  <c r="I219" i="11"/>
  <c r="J219" i="11"/>
  <c r="H220" i="11"/>
  <c r="I220" i="11"/>
  <c r="J220" i="11"/>
  <c r="J175" i="11"/>
  <c r="I175" i="11"/>
  <c r="H175" i="11"/>
  <c r="H173" i="11"/>
  <c r="H166" i="11"/>
  <c r="I166" i="11"/>
  <c r="J166" i="11"/>
  <c r="H167" i="11"/>
  <c r="I167" i="11"/>
  <c r="J167" i="11"/>
  <c r="H168" i="11"/>
  <c r="I168" i="11"/>
  <c r="J168" i="11"/>
  <c r="H169" i="11"/>
  <c r="I169" i="11"/>
  <c r="J169" i="11"/>
  <c r="H170" i="11"/>
  <c r="I170" i="11"/>
  <c r="J170" i="11"/>
  <c r="H171" i="11"/>
  <c r="I171" i="11"/>
  <c r="J171" i="11"/>
  <c r="H172" i="11"/>
  <c r="I172" i="11"/>
  <c r="J172" i="11"/>
  <c r="I173" i="11"/>
  <c r="J173" i="11"/>
  <c r="J165" i="11"/>
  <c r="I165" i="11"/>
  <c r="H165" i="11"/>
  <c r="H119" i="11"/>
  <c r="I119" i="11"/>
  <c r="J119" i="11"/>
  <c r="H120" i="11"/>
  <c r="I120" i="11"/>
  <c r="J120" i="11"/>
  <c r="H121" i="11"/>
  <c r="I121" i="11"/>
  <c r="J121" i="11"/>
  <c r="H122" i="11"/>
  <c r="I122" i="11"/>
  <c r="J122" i="11"/>
  <c r="H123" i="11"/>
  <c r="I123" i="11"/>
  <c r="J123" i="11"/>
  <c r="H124" i="11"/>
  <c r="I124" i="11"/>
  <c r="J124" i="11"/>
  <c r="H125" i="11"/>
  <c r="I125" i="11"/>
  <c r="J125" i="11"/>
  <c r="H126" i="11"/>
  <c r="I126" i="11"/>
  <c r="J126" i="11"/>
  <c r="H127" i="11"/>
  <c r="I127" i="11"/>
  <c r="J127" i="11"/>
  <c r="H128" i="11"/>
  <c r="I128" i="11"/>
  <c r="J128" i="11"/>
  <c r="H129" i="11"/>
  <c r="I129" i="11"/>
  <c r="J129" i="11"/>
  <c r="H130" i="11"/>
  <c r="I130" i="11"/>
  <c r="J130" i="11"/>
  <c r="H131" i="11"/>
  <c r="I131" i="11"/>
  <c r="J131" i="11"/>
  <c r="H132" i="11"/>
  <c r="I132" i="11"/>
  <c r="J132" i="11"/>
  <c r="H133" i="11"/>
  <c r="I133" i="11"/>
  <c r="J133" i="11"/>
  <c r="H134" i="11"/>
  <c r="I134" i="11"/>
  <c r="J134" i="11"/>
  <c r="H135" i="11"/>
  <c r="I135" i="11"/>
  <c r="J135" i="11"/>
  <c r="H136" i="11"/>
  <c r="I136" i="11"/>
  <c r="J136" i="11"/>
  <c r="H137" i="11"/>
  <c r="I137" i="11"/>
  <c r="J137" i="11"/>
  <c r="H138" i="11"/>
  <c r="I138" i="11"/>
  <c r="J138" i="11"/>
  <c r="H139" i="11"/>
  <c r="I139" i="11"/>
  <c r="J139" i="11"/>
  <c r="H140" i="11"/>
  <c r="I140" i="11"/>
  <c r="J140" i="11"/>
  <c r="H141" i="11"/>
  <c r="I141" i="11"/>
  <c r="J141" i="11"/>
  <c r="H142" i="11"/>
  <c r="I142" i="11"/>
  <c r="J142" i="11"/>
  <c r="H143" i="11"/>
  <c r="I143" i="11"/>
  <c r="J143" i="11"/>
  <c r="H144" i="11"/>
  <c r="I144" i="11"/>
  <c r="J144" i="11"/>
  <c r="H145" i="11"/>
  <c r="I145" i="11"/>
  <c r="J145" i="11"/>
  <c r="H146" i="11"/>
  <c r="I146" i="11"/>
  <c r="J146" i="11"/>
  <c r="H147" i="11"/>
  <c r="I147" i="11"/>
  <c r="J147" i="11"/>
  <c r="H148" i="11"/>
  <c r="I148" i="11"/>
  <c r="J148" i="11"/>
  <c r="H149" i="11"/>
  <c r="I149" i="11"/>
  <c r="J149" i="11"/>
  <c r="H150" i="11"/>
  <c r="I150" i="11"/>
  <c r="J150" i="11"/>
  <c r="H151" i="11"/>
  <c r="I151" i="11"/>
  <c r="J151" i="11"/>
  <c r="H152" i="11"/>
  <c r="I152" i="11"/>
  <c r="J152" i="11"/>
  <c r="H153" i="11"/>
  <c r="I153" i="11"/>
  <c r="J153" i="11"/>
  <c r="H154" i="11"/>
  <c r="I154" i="11"/>
  <c r="J154" i="11"/>
  <c r="H155" i="11"/>
  <c r="I155" i="11"/>
  <c r="J155" i="11"/>
  <c r="H156" i="11"/>
  <c r="I156" i="11"/>
  <c r="J156" i="11"/>
  <c r="H157" i="11"/>
  <c r="I157" i="11"/>
  <c r="J157" i="11"/>
  <c r="H158" i="11"/>
  <c r="I158" i="11"/>
  <c r="J158" i="11"/>
  <c r="H159" i="11"/>
  <c r="I159" i="11"/>
  <c r="J159" i="11"/>
  <c r="H160" i="11"/>
  <c r="I160" i="11"/>
  <c r="J160" i="11"/>
  <c r="H161" i="11"/>
  <c r="I161" i="11"/>
  <c r="J161" i="11"/>
  <c r="H162" i="11"/>
  <c r="I162" i="11"/>
  <c r="J162" i="11"/>
  <c r="H163" i="11"/>
  <c r="I163" i="11"/>
  <c r="J163" i="11"/>
  <c r="J118" i="11"/>
  <c r="I118" i="11"/>
  <c r="H118" i="11"/>
  <c r="H109" i="11"/>
  <c r="I109" i="11"/>
  <c r="J109" i="11"/>
  <c r="H110" i="11"/>
  <c r="I110" i="11"/>
  <c r="J110" i="11"/>
  <c r="H111" i="11"/>
  <c r="I111" i="11"/>
  <c r="J111" i="11"/>
  <c r="H112" i="11"/>
  <c r="I112" i="11"/>
  <c r="J112" i="11"/>
  <c r="H113" i="11"/>
  <c r="I113" i="11"/>
  <c r="J113" i="11"/>
  <c r="H114" i="11"/>
  <c r="I114" i="11"/>
  <c r="J114" i="11"/>
  <c r="H115" i="11"/>
  <c r="I115" i="11"/>
  <c r="J115" i="11"/>
  <c r="H116" i="11"/>
  <c r="I116" i="11"/>
  <c r="J116" i="11"/>
  <c r="J108" i="11"/>
  <c r="I108" i="11"/>
  <c r="H108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4" i="11"/>
  <c r="J52" i="11"/>
  <c r="J53" i="11"/>
  <c r="J54" i="11"/>
  <c r="J55" i="11"/>
  <c r="J56" i="11"/>
  <c r="J57" i="11"/>
  <c r="J58" i="11"/>
  <c r="J59" i="11"/>
  <c r="J51" i="11"/>
  <c r="H62" i="11"/>
  <c r="I62" i="11"/>
  <c r="J62" i="11"/>
  <c r="H63" i="11"/>
  <c r="I63" i="11"/>
  <c r="J63" i="11"/>
  <c r="H64" i="11"/>
  <c r="I64" i="11"/>
  <c r="J64" i="11"/>
  <c r="H65" i="11"/>
  <c r="I65" i="11"/>
  <c r="J65" i="11"/>
  <c r="H66" i="11"/>
  <c r="I66" i="11"/>
  <c r="J66" i="11"/>
  <c r="H67" i="11"/>
  <c r="I67" i="11"/>
  <c r="J67" i="11"/>
  <c r="H68" i="11"/>
  <c r="I68" i="11"/>
  <c r="J68" i="11"/>
  <c r="H69" i="11"/>
  <c r="I69" i="11"/>
  <c r="J69" i="11"/>
  <c r="H70" i="11"/>
  <c r="I70" i="11"/>
  <c r="J70" i="11"/>
  <c r="H71" i="11"/>
  <c r="I71" i="11"/>
  <c r="J71" i="11"/>
  <c r="H72" i="11"/>
  <c r="I72" i="11"/>
  <c r="J72" i="11"/>
  <c r="H73" i="11"/>
  <c r="I73" i="11"/>
  <c r="J73" i="11"/>
  <c r="H74" i="11"/>
  <c r="I74" i="11"/>
  <c r="J74" i="11"/>
  <c r="H75" i="11"/>
  <c r="I75" i="11"/>
  <c r="J75" i="11"/>
  <c r="H76" i="11"/>
  <c r="I76" i="11"/>
  <c r="J76" i="11"/>
  <c r="H77" i="11"/>
  <c r="I77" i="11"/>
  <c r="J77" i="11"/>
  <c r="H78" i="11"/>
  <c r="I78" i="11"/>
  <c r="J78" i="11"/>
  <c r="H79" i="11"/>
  <c r="I79" i="11"/>
  <c r="J79" i="11"/>
  <c r="H80" i="11"/>
  <c r="I80" i="11"/>
  <c r="J80" i="11"/>
  <c r="H81" i="11"/>
  <c r="I81" i="11"/>
  <c r="J81" i="11"/>
  <c r="H82" i="11"/>
  <c r="I82" i="11"/>
  <c r="J82" i="11"/>
  <c r="H83" i="11"/>
  <c r="I83" i="11"/>
  <c r="J83" i="11"/>
  <c r="H84" i="11"/>
  <c r="I84" i="11"/>
  <c r="J84" i="11"/>
  <c r="H85" i="11"/>
  <c r="I85" i="11"/>
  <c r="J85" i="11"/>
  <c r="H86" i="11"/>
  <c r="I86" i="11"/>
  <c r="J86" i="11"/>
  <c r="H87" i="11"/>
  <c r="I87" i="11"/>
  <c r="J87" i="11"/>
  <c r="H88" i="11"/>
  <c r="I88" i="11"/>
  <c r="J88" i="11"/>
  <c r="H89" i="11"/>
  <c r="I89" i="11"/>
  <c r="J89" i="11"/>
  <c r="H90" i="11"/>
  <c r="I90" i="11"/>
  <c r="J90" i="11"/>
  <c r="H91" i="11"/>
  <c r="I91" i="11"/>
  <c r="J91" i="11"/>
  <c r="H92" i="11"/>
  <c r="I92" i="11"/>
  <c r="J92" i="11"/>
  <c r="H93" i="11"/>
  <c r="I93" i="11"/>
  <c r="J93" i="11"/>
  <c r="H94" i="11"/>
  <c r="I94" i="11"/>
  <c r="J94" i="11"/>
  <c r="H95" i="11"/>
  <c r="I95" i="11"/>
  <c r="J95" i="11"/>
  <c r="H96" i="11"/>
  <c r="I96" i="11"/>
  <c r="J96" i="11"/>
  <c r="H97" i="11"/>
  <c r="I97" i="11"/>
  <c r="J97" i="11"/>
  <c r="H98" i="11"/>
  <c r="I98" i="11"/>
  <c r="J98" i="11"/>
  <c r="H99" i="11"/>
  <c r="I99" i="11"/>
  <c r="J99" i="11"/>
  <c r="H100" i="11"/>
  <c r="I100" i="11"/>
  <c r="J100" i="11"/>
  <c r="H101" i="11"/>
  <c r="I101" i="11"/>
  <c r="J101" i="11"/>
  <c r="H102" i="11"/>
  <c r="I102" i="11"/>
  <c r="J102" i="11"/>
  <c r="H103" i="11"/>
  <c r="I103" i="11"/>
  <c r="J103" i="11"/>
  <c r="H104" i="11"/>
  <c r="I104" i="11"/>
  <c r="J104" i="11"/>
  <c r="H105" i="11"/>
  <c r="I105" i="11"/>
  <c r="J105" i="11"/>
  <c r="H106" i="11"/>
  <c r="I106" i="11"/>
  <c r="J106" i="11"/>
  <c r="J61" i="11"/>
  <c r="I61" i="11"/>
  <c r="H61" i="11"/>
  <c r="H52" i="11"/>
  <c r="I52" i="11"/>
  <c r="H53" i="11"/>
  <c r="I53" i="11"/>
  <c r="H54" i="11"/>
  <c r="I54" i="11"/>
  <c r="H55" i="11"/>
  <c r="I55" i="11"/>
  <c r="H56" i="11"/>
  <c r="I56" i="11"/>
  <c r="H57" i="11"/>
  <c r="I57" i="11"/>
  <c r="H58" i="11"/>
  <c r="I58" i="11"/>
  <c r="H59" i="11"/>
  <c r="I59" i="11"/>
  <c r="I51" i="11"/>
  <c r="H51" i="11"/>
  <c r="H5" i="11"/>
  <c r="I5" i="11"/>
  <c r="H6" i="11"/>
  <c r="I6" i="11"/>
  <c r="H7" i="11"/>
  <c r="I7" i="11"/>
  <c r="H8" i="11"/>
  <c r="I8" i="11"/>
  <c r="H9" i="11"/>
  <c r="I9" i="11"/>
  <c r="H10" i="11"/>
  <c r="I10" i="11"/>
  <c r="H11" i="11"/>
  <c r="I11" i="11"/>
  <c r="H12" i="11"/>
  <c r="I12" i="11"/>
  <c r="H13" i="11"/>
  <c r="I13" i="11"/>
  <c r="H14" i="11"/>
  <c r="I14" i="11"/>
  <c r="H15" i="11"/>
  <c r="I15" i="11"/>
  <c r="H16" i="11"/>
  <c r="I16" i="11"/>
  <c r="H17" i="11"/>
  <c r="I17" i="11"/>
  <c r="H18" i="11"/>
  <c r="I18" i="11"/>
  <c r="H19" i="11"/>
  <c r="I19" i="11"/>
  <c r="H20" i="11"/>
  <c r="I20" i="11"/>
  <c r="H21" i="11"/>
  <c r="I21" i="11"/>
  <c r="H22" i="11"/>
  <c r="I22" i="11"/>
  <c r="H23" i="11"/>
  <c r="I23" i="11"/>
  <c r="H24" i="11"/>
  <c r="I24" i="11"/>
  <c r="H25" i="11"/>
  <c r="I25" i="11"/>
  <c r="H26" i="11"/>
  <c r="I26" i="11"/>
  <c r="H27" i="11"/>
  <c r="I27" i="11"/>
  <c r="H28" i="11"/>
  <c r="I28" i="11"/>
  <c r="H29" i="11"/>
  <c r="I29" i="11"/>
  <c r="H30" i="11"/>
  <c r="I30" i="11"/>
  <c r="H31" i="11"/>
  <c r="I31" i="11"/>
  <c r="H32" i="11"/>
  <c r="I32" i="11"/>
  <c r="H33" i="11"/>
  <c r="I33" i="11"/>
  <c r="H34" i="11"/>
  <c r="I34" i="11"/>
  <c r="H35" i="11"/>
  <c r="I35" i="11"/>
  <c r="H36" i="11"/>
  <c r="I36" i="11"/>
  <c r="H37" i="11"/>
  <c r="I37" i="11"/>
  <c r="H38" i="11"/>
  <c r="I38" i="11"/>
  <c r="H39" i="11"/>
  <c r="I39" i="11"/>
  <c r="H40" i="11"/>
  <c r="I40" i="11"/>
  <c r="H41" i="11"/>
  <c r="I41" i="11"/>
  <c r="H42" i="11"/>
  <c r="I42" i="11"/>
  <c r="H43" i="11"/>
  <c r="I43" i="11"/>
  <c r="H44" i="11"/>
  <c r="I44" i="11"/>
  <c r="H45" i="11"/>
  <c r="I45" i="11"/>
  <c r="H46" i="11"/>
  <c r="I46" i="11"/>
  <c r="H47" i="11"/>
  <c r="I47" i="11"/>
  <c r="H48" i="11"/>
  <c r="I48" i="11"/>
  <c r="H49" i="11"/>
  <c r="I49" i="11"/>
  <c r="I4" i="11"/>
  <c r="H4" i="11"/>
  <c r="E608" i="11"/>
  <c r="F608" i="11"/>
  <c r="G608" i="11"/>
  <c r="E609" i="11"/>
  <c r="F609" i="11"/>
  <c r="G609" i="11"/>
  <c r="E610" i="11"/>
  <c r="F610" i="11"/>
  <c r="G610" i="11"/>
  <c r="E611" i="11"/>
  <c r="F611" i="11"/>
  <c r="G611" i="11"/>
  <c r="E612" i="11"/>
  <c r="F612" i="11"/>
  <c r="G612" i="11"/>
  <c r="E613" i="11"/>
  <c r="F613" i="11"/>
  <c r="G613" i="11"/>
  <c r="E614" i="11"/>
  <c r="F614" i="11"/>
  <c r="G614" i="11"/>
  <c r="E615" i="11"/>
  <c r="F615" i="11"/>
  <c r="G615" i="11"/>
  <c r="E616" i="11"/>
  <c r="F616" i="11"/>
  <c r="G616" i="11"/>
  <c r="E617" i="11"/>
  <c r="F617" i="11"/>
  <c r="G617" i="11"/>
  <c r="E618" i="11"/>
  <c r="F618" i="11"/>
  <c r="G618" i="11"/>
  <c r="E619" i="11"/>
  <c r="F619" i="11"/>
  <c r="G619" i="11"/>
  <c r="E620" i="11"/>
  <c r="F620" i="11"/>
  <c r="G620" i="11"/>
  <c r="F607" i="11"/>
  <c r="G607" i="11"/>
  <c r="E607" i="11"/>
  <c r="E569" i="11"/>
  <c r="F569" i="11"/>
  <c r="G569" i="11"/>
  <c r="E570" i="11"/>
  <c r="F570" i="11"/>
  <c r="G570" i="11"/>
  <c r="E571" i="11"/>
  <c r="F571" i="11"/>
  <c r="G571" i="11"/>
  <c r="E572" i="11"/>
  <c r="F572" i="11"/>
  <c r="G572" i="11"/>
  <c r="E573" i="11"/>
  <c r="F573" i="11"/>
  <c r="G573" i="11"/>
  <c r="E574" i="11"/>
  <c r="F574" i="11"/>
  <c r="G574" i="11"/>
  <c r="E575" i="11"/>
  <c r="F575" i="11"/>
  <c r="G575" i="11"/>
  <c r="E576" i="11"/>
  <c r="F576" i="11"/>
  <c r="G576" i="11"/>
  <c r="E577" i="11"/>
  <c r="F577" i="11"/>
  <c r="G577" i="11"/>
  <c r="E578" i="11"/>
  <c r="F578" i="11"/>
  <c r="G578" i="11"/>
  <c r="E579" i="11"/>
  <c r="F579" i="11"/>
  <c r="G579" i="11"/>
  <c r="E580" i="11"/>
  <c r="F580" i="11"/>
  <c r="G580" i="11"/>
  <c r="E581" i="11"/>
  <c r="F581" i="11"/>
  <c r="G581" i="11"/>
  <c r="E582" i="11"/>
  <c r="F582" i="11"/>
  <c r="G582" i="11"/>
  <c r="E583" i="11"/>
  <c r="F583" i="11"/>
  <c r="G583" i="11"/>
  <c r="E584" i="11"/>
  <c r="F584" i="11"/>
  <c r="G584" i="11"/>
  <c r="E585" i="11"/>
  <c r="F585" i="11"/>
  <c r="G585" i="11"/>
  <c r="E586" i="11"/>
  <c r="F586" i="11"/>
  <c r="G586" i="11"/>
  <c r="E587" i="11"/>
  <c r="F587" i="11"/>
  <c r="G587" i="11"/>
  <c r="E588" i="11"/>
  <c r="F588" i="11"/>
  <c r="G588" i="11"/>
  <c r="E589" i="11"/>
  <c r="F589" i="11"/>
  <c r="G589" i="11"/>
  <c r="E590" i="11"/>
  <c r="F590" i="11"/>
  <c r="G590" i="11"/>
  <c r="E591" i="11"/>
  <c r="F591" i="11"/>
  <c r="G591" i="11"/>
  <c r="E592" i="11"/>
  <c r="F592" i="11"/>
  <c r="G592" i="11"/>
  <c r="E593" i="11"/>
  <c r="F593" i="11"/>
  <c r="G593" i="11"/>
  <c r="E594" i="11"/>
  <c r="F594" i="11"/>
  <c r="G594" i="11"/>
  <c r="E595" i="11"/>
  <c r="F595" i="11"/>
  <c r="G595" i="11"/>
  <c r="E596" i="11"/>
  <c r="F596" i="11"/>
  <c r="G596" i="11"/>
  <c r="E597" i="11"/>
  <c r="F597" i="11"/>
  <c r="G597" i="11"/>
  <c r="E598" i="11"/>
  <c r="F598" i="11"/>
  <c r="G598" i="11"/>
  <c r="E599" i="11"/>
  <c r="F599" i="11"/>
  <c r="G599" i="11"/>
  <c r="E600" i="11"/>
  <c r="F600" i="11"/>
  <c r="G600" i="11"/>
  <c r="E601" i="11"/>
  <c r="F601" i="11"/>
  <c r="G601" i="11"/>
  <c r="E602" i="11"/>
  <c r="F602" i="11"/>
  <c r="G602" i="11"/>
  <c r="E603" i="11"/>
  <c r="F603" i="11"/>
  <c r="G603" i="11"/>
  <c r="E604" i="11"/>
  <c r="F604" i="11"/>
  <c r="G604" i="11"/>
  <c r="E605" i="11"/>
  <c r="F605" i="11"/>
  <c r="G605" i="11"/>
  <c r="F568" i="11"/>
  <c r="G568" i="11"/>
  <c r="E568" i="11"/>
  <c r="E554" i="11"/>
  <c r="F554" i="11"/>
  <c r="G554" i="11"/>
  <c r="E555" i="11"/>
  <c r="F555" i="11"/>
  <c r="G555" i="11"/>
  <c r="E556" i="11"/>
  <c r="F556" i="11"/>
  <c r="G556" i="11"/>
  <c r="E557" i="11"/>
  <c r="F557" i="11"/>
  <c r="G557" i="11"/>
  <c r="E558" i="11"/>
  <c r="F558" i="11"/>
  <c r="G558" i="11"/>
  <c r="E559" i="11"/>
  <c r="F559" i="11"/>
  <c r="G559" i="11"/>
  <c r="E560" i="11"/>
  <c r="F560" i="11"/>
  <c r="G560" i="11"/>
  <c r="E561" i="11"/>
  <c r="F561" i="11"/>
  <c r="G561" i="11"/>
  <c r="E562" i="11"/>
  <c r="F562" i="11"/>
  <c r="G562" i="11"/>
  <c r="E563" i="11"/>
  <c r="F563" i="11"/>
  <c r="G563" i="11"/>
  <c r="E564" i="11"/>
  <c r="F564" i="11"/>
  <c r="G564" i="11"/>
  <c r="E565" i="11"/>
  <c r="F565" i="11"/>
  <c r="G565" i="11"/>
  <c r="E566" i="11"/>
  <c r="F566" i="11"/>
  <c r="G566" i="11"/>
  <c r="F553" i="11"/>
  <c r="G553" i="11"/>
  <c r="E553" i="11"/>
  <c r="E515" i="11"/>
  <c r="F515" i="11"/>
  <c r="G515" i="11"/>
  <c r="E516" i="11"/>
  <c r="F516" i="11"/>
  <c r="G516" i="11"/>
  <c r="E517" i="11"/>
  <c r="F517" i="11"/>
  <c r="G517" i="11"/>
  <c r="E518" i="11"/>
  <c r="F518" i="11"/>
  <c r="G518" i="11"/>
  <c r="E519" i="11"/>
  <c r="F519" i="11"/>
  <c r="G519" i="11"/>
  <c r="E520" i="11"/>
  <c r="F520" i="11"/>
  <c r="G520" i="11"/>
  <c r="E521" i="11"/>
  <c r="F521" i="11"/>
  <c r="G521" i="11"/>
  <c r="E522" i="11"/>
  <c r="F522" i="11"/>
  <c r="G522" i="11"/>
  <c r="E523" i="11"/>
  <c r="F523" i="11"/>
  <c r="G523" i="11"/>
  <c r="E524" i="11"/>
  <c r="F524" i="11"/>
  <c r="G524" i="11"/>
  <c r="E525" i="11"/>
  <c r="F525" i="11"/>
  <c r="G525" i="11"/>
  <c r="E526" i="11"/>
  <c r="F526" i="11"/>
  <c r="G526" i="11"/>
  <c r="E527" i="11"/>
  <c r="F527" i="11"/>
  <c r="G527" i="11"/>
  <c r="E528" i="11"/>
  <c r="F528" i="11"/>
  <c r="G528" i="11"/>
  <c r="E529" i="11"/>
  <c r="F529" i="11"/>
  <c r="G529" i="11"/>
  <c r="E530" i="11"/>
  <c r="F530" i="11"/>
  <c r="G530" i="11"/>
  <c r="E531" i="11"/>
  <c r="F531" i="11"/>
  <c r="G531" i="11"/>
  <c r="E532" i="11"/>
  <c r="F532" i="11"/>
  <c r="G532" i="11"/>
  <c r="E533" i="11"/>
  <c r="F533" i="11"/>
  <c r="G533" i="11"/>
  <c r="E534" i="11"/>
  <c r="F534" i="11"/>
  <c r="G534" i="11"/>
  <c r="E535" i="11"/>
  <c r="F535" i="11"/>
  <c r="G535" i="11"/>
  <c r="E536" i="11"/>
  <c r="F536" i="11"/>
  <c r="G536" i="11"/>
  <c r="E537" i="11"/>
  <c r="F537" i="11"/>
  <c r="G537" i="11"/>
  <c r="E538" i="11"/>
  <c r="F538" i="11"/>
  <c r="G538" i="11"/>
  <c r="E539" i="11"/>
  <c r="F539" i="11"/>
  <c r="G539" i="11"/>
  <c r="E540" i="11"/>
  <c r="F540" i="11"/>
  <c r="G540" i="11"/>
  <c r="E541" i="11"/>
  <c r="F541" i="11"/>
  <c r="G541" i="11"/>
  <c r="E542" i="11"/>
  <c r="F542" i="11"/>
  <c r="G542" i="11"/>
  <c r="E543" i="11"/>
  <c r="F543" i="11"/>
  <c r="G543" i="11"/>
  <c r="E544" i="11"/>
  <c r="F544" i="11"/>
  <c r="G544" i="11"/>
  <c r="E545" i="11"/>
  <c r="F545" i="11"/>
  <c r="G545" i="11"/>
  <c r="E546" i="11"/>
  <c r="F546" i="11"/>
  <c r="G546" i="11"/>
  <c r="E547" i="11"/>
  <c r="F547" i="11"/>
  <c r="G547" i="11"/>
  <c r="E548" i="11"/>
  <c r="F548" i="11"/>
  <c r="G548" i="11"/>
  <c r="E549" i="11"/>
  <c r="F549" i="11"/>
  <c r="G549" i="11"/>
  <c r="E550" i="11"/>
  <c r="F550" i="11"/>
  <c r="G550" i="11"/>
  <c r="E551" i="11"/>
  <c r="F551" i="11"/>
  <c r="G551" i="11"/>
  <c r="F514" i="11"/>
  <c r="G514" i="11"/>
  <c r="E514" i="11"/>
  <c r="E500" i="11"/>
  <c r="F500" i="11"/>
  <c r="G500" i="11"/>
  <c r="E501" i="11"/>
  <c r="F501" i="11"/>
  <c r="G501" i="11"/>
  <c r="E502" i="11"/>
  <c r="F502" i="11"/>
  <c r="G502" i="11"/>
  <c r="E503" i="11"/>
  <c r="F503" i="11"/>
  <c r="G503" i="11"/>
  <c r="E504" i="11"/>
  <c r="F504" i="11"/>
  <c r="G504" i="11"/>
  <c r="E505" i="11"/>
  <c r="F505" i="11"/>
  <c r="G505" i="11"/>
  <c r="E506" i="11"/>
  <c r="F506" i="11"/>
  <c r="G506" i="11"/>
  <c r="E507" i="11"/>
  <c r="F507" i="11"/>
  <c r="G507" i="11"/>
  <c r="E508" i="11"/>
  <c r="F508" i="11"/>
  <c r="G508" i="11"/>
  <c r="E509" i="11"/>
  <c r="F509" i="11"/>
  <c r="G509" i="11"/>
  <c r="E510" i="11"/>
  <c r="F510" i="11"/>
  <c r="G510" i="11"/>
  <c r="E511" i="11"/>
  <c r="F511" i="11"/>
  <c r="G511" i="11"/>
  <c r="E512" i="11"/>
  <c r="F512" i="11"/>
  <c r="G512" i="11"/>
  <c r="F499" i="11"/>
  <c r="G499" i="11"/>
  <c r="E499" i="11"/>
  <c r="E461" i="11"/>
  <c r="F461" i="11"/>
  <c r="G461" i="11"/>
  <c r="E462" i="11"/>
  <c r="F462" i="11"/>
  <c r="G462" i="11"/>
  <c r="E463" i="11"/>
  <c r="F463" i="11"/>
  <c r="G463" i="11"/>
  <c r="E464" i="11"/>
  <c r="F464" i="11"/>
  <c r="G464" i="11"/>
  <c r="E465" i="11"/>
  <c r="F465" i="11"/>
  <c r="G465" i="11"/>
  <c r="E466" i="11"/>
  <c r="F466" i="11"/>
  <c r="G466" i="11"/>
  <c r="E467" i="11"/>
  <c r="F467" i="11"/>
  <c r="G467" i="11"/>
  <c r="E468" i="11"/>
  <c r="F468" i="11"/>
  <c r="G468" i="11"/>
  <c r="E469" i="11"/>
  <c r="F469" i="11"/>
  <c r="G469" i="11"/>
  <c r="E470" i="11"/>
  <c r="F470" i="11"/>
  <c r="G470" i="11"/>
  <c r="E471" i="11"/>
  <c r="F471" i="11"/>
  <c r="G471" i="11"/>
  <c r="E472" i="11"/>
  <c r="F472" i="11"/>
  <c r="G472" i="11"/>
  <c r="E473" i="11"/>
  <c r="F473" i="11"/>
  <c r="G473" i="11"/>
  <c r="E474" i="11"/>
  <c r="F474" i="11"/>
  <c r="G474" i="11"/>
  <c r="E475" i="11"/>
  <c r="F475" i="11"/>
  <c r="G475" i="11"/>
  <c r="E476" i="11"/>
  <c r="F476" i="11"/>
  <c r="G476" i="11"/>
  <c r="E477" i="11"/>
  <c r="F477" i="11"/>
  <c r="G477" i="11"/>
  <c r="E478" i="11"/>
  <c r="F478" i="11"/>
  <c r="G478" i="11"/>
  <c r="E479" i="11"/>
  <c r="F479" i="11"/>
  <c r="G479" i="11"/>
  <c r="E480" i="11"/>
  <c r="F480" i="11"/>
  <c r="G480" i="11"/>
  <c r="E481" i="11"/>
  <c r="F481" i="11"/>
  <c r="G481" i="11"/>
  <c r="E482" i="11"/>
  <c r="F482" i="11"/>
  <c r="G482" i="11"/>
  <c r="E483" i="11"/>
  <c r="F483" i="11"/>
  <c r="G483" i="11"/>
  <c r="E484" i="11"/>
  <c r="F484" i="11"/>
  <c r="G484" i="11"/>
  <c r="E485" i="11"/>
  <c r="F485" i="11"/>
  <c r="G485" i="11"/>
  <c r="E486" i="11"/>
  <c r="F486" i="11"/>
  <c r="G486" i="11"/>
  <c r="E487" i="11"/>
  <c r="F487" i="11"/>
  <c r="G487" i="11"/>
  <c r="E488" i="11"/>
  <c r="F488" i="11"/>
  <c r="G488" i="11"/>
  <c r="E489" i="11"/>
  <c r="F489" i="11"/>
  <c r="G489" i="11"/>
  <c r="E490" i="11"/>
  <c r="F490" i="11"/>
  <c r="G490" i="11"/>
  <c r="E491" i="11"/>
  <c r="F491" i="11"/>
  <c r="G491" i="11"/>
  <c r="E492" i="11"/>
  <c r="F492" i="11"/>
  <c r="G492" i="11"/>
  <c r="E493" i="11"/>
  <c r="F493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F460" i="11"/>
  <c r="G460" i="11"/>
  <c r="E460" i="11"/>
  <c r="E451" i="11"/>
  <c r="F451" i="11"/>
  <c r="G451" i="11"/>
  <c r="E452" i="11"/>
  <c r="F452" i="11"/>
  <c r="G452" i="11"/>
  <c r="E453" i="11"/>
  <c r="F453" i="11"/>
  <c r="G453" i="11"/>
  <c r="E454" i="11"/>
  <c r="F454" i="11"/>
  <c r="G454" i="11"/>
  <c r="E455" i="11"/>
  <c r="F455" i="11"/>
  <c r="G455" i="11"/>
  <c r="E456" i="11"/>
  <c r="F456" i="11"/>
  <c r="G456" i="11"/>
  <c r="E457" i="11"/>
  <c r="F457" i="11"/>
  <c r="G457" i="11"/>
  <c r="E458" i="11"/>
  <c r="F458" i="11"/>
  <c r="G458" i="11"/>
  <c r="F450" i="11"/>
  <c r="G450" i="11"/>
  <c r="E450" i="11"/>
  <c r="E404" i="11"/>
  <c r="F404" i="11"/>
  <c r="G404" i="11"/>
  <c r="E405" i="11"/>
  <c r="F405" i="11"/>
  <c r="G405" i="11"/>
  <c r="E406" i="11"/>
  <c r="F406" i="11"/>
  <c r="G406" i="11"/>
  <c r="E407" i="11"/>
  <c r="F407" i="11"/>
  <c r="G407" i="11"/>
  <c r="E408" i="11"/>
  <c r="F408" i="11"/>
  <c r="G408" i="11"/>
  <c r="E409" i="11"/>
  <c r="F409" i="11"/>
  <c r="G409" i="11"/>
  <c r="E410" i="11"/>
  <c r="F410" i="11"/>
  <c r="G410" i="11"/>
  <c r="E411" i="11"/>
  <c r="F411" i="11"/>
  <c r="G411" i="11"/>
  <c r="E412" i="11"/>
  <c r="F412" i="11"/>
  <c r="G412" i="11"/>
  <c r="E413" i="11"/>
  <c r="F413" i="11"/>
  <c r="G413" i="11"/>
  <c r="E414" i="11"/>
  <c r="F414" i="11"/>
  <c r="G414" i="11"/>
  <c r="E415" i="11"/>
  <c r="F415" i="11"/>
  <c r="G415" i="11"/>
  <c r="E416" i="11"/>
  <c r="F416" i="11"/>
  <c r="G416" i="11"/>
  <c r="E417" i="11"/>
  <c r="F417" i="11"/>
  <c r="G417" i="11"/>
  <c r="E418" i="11"/>
  <c r="F418" i="11"/>
  <c r="G418" i="11"/>
  <c r="E419" i="11"/>
  <c r="F419" i="11"/>
  <c r="G419" i="11"/>
  <c r="E420" i="11"/>
  <c r="F420" i="11"/>
  <c r="G420" i="11"/>
  <c r="E421" i="11"/>
  <c r="F421" i="11"/>
  <c r="G421" i="11"/>
  <c r="E422" i="11"/>
  <c r="F422" i="11"/>
  <c r="G422" i="11"/>
  <c r="E423" i="11"/>
  <c r="F423" i="11"/>
  <c r="G423" i="11"/>
  <c r="E424" i="11"/>
  <c r="F424" i="11"/>
  <c r="G424" i="11"/>
  <c r="E425" i="11"/>
  <c r="F425" i="11"/>
  <c r="G425" i="11"/>
  <c r="E426" i="11"/>
  <c r="F426" i="11"/>
  <c r="G426" i="11"/>
  <c r="E427" i="11"/>
  <c r="F427" i="11"/>
  <c r="G427" i="11"/>
  <c r="E428" i="11"/>
  <c r="F428" i="11"/>
  <c r="G428" i="11"/>
  <c r="E429" i="11"/>
  <c r="F429" i="11"/>
  <c r="G429" i="11"/>
  <c r="E430" i="11"/>
  <c r="F430" i="11"/>
  <c r="G430" i="11"/>
  <c r="E431" i="11"/>
  <c r="F431" i="11"/>
  <c r="G431" i="11"/>
  <c r="E432" i="11"/>
  <c r="F432" i="11"/>
  <c r="G432" i="11"/>
  <c r="E433" i="11"/>
  <c r="F433" i="11"/>
  <c r="G433" i="11"/>
  <c r="E434" i="11"/>
  <c r="F434" i="11"/>
  <c r="G434" i="11"/>
  <c r="E435" i="11"/>
  <c r="F435" i="11"/>
  <c r="G435" i="11"/>
  <c r="E436" i="11"/>
  <c r="F436" i="11"/>
  <c r="G436" i="11"/>
  <c r="E437" i="11"/>
  <c r="F437" i="11"/>
  <c r="G437" i="11"/>
  <c r="E438" i="11"/>
  <c r="F438" i="11"/>
  <c r="G438" i="11"/>
  <c r="E439" i="11"/>
  <c r="F439" i="11"/>
  <c r="G439" i="11"/>
  <c r="E440" i="11"/>
  <c r="F440" i="11"/>
  <c r="G440" i="11"/>
  <c r="E441" i="11"/>
  <c r="F441" i="11"/>
  <c r="G441" i="11"/>
  <c r="E442" i="11"/>
  <c r="F442" i="11"/>
  <c r="G442" i="11"/>
  <c r="E443" i="11"/>
  <c r="F443" i="11"/>
  <c r="G443" i="11"/>
  <c r="E444" i="11"/>
  <c r="F444" i="11"/>
  <c r="G444" i="11"/>
  <c r="E445" i="11"/>
  <c r="F445" i="11"/>
  <c r="G445" i="11"/>
  <c r="E446" i="11"/>
  <c r="F446" i="11"/>
  <c r="G446" i="11"/>
  <c r="E447" i="11"/>
  <c r="F447" i="11"/>
  <c r="G447" i="11"/>
  <c r="E448" i="11"/>
  <c r="F448" i="11"/>
  <c r="G448" i="11"/>
  <c r="F403" i="11"/>
  <c r="G403" i="11"/>
  <c r="E403" i="11"/>
  <c r="E394" i="11"/>
  <c r="F394" i="11"/>
  <c r="G394" i="11"/>
  <c r="E395" i="11"/>
  <c r="F395" i="11"/>
  <c r="G395" i="11"/>
  <c r="E396" i="11"/>
  <c r="F396" i="11"/>
  <c r="G396" i="11"/>
  <c r="E397" i="11"/>
  <c r="F397" i="11"/>
  <c r="G397" i="11"/>
  <c r="E398" i="11"/>
  <c r="F398" i="11"/>
  <c r="G398" i="11"/>
  <c r="E399" i="11"/>
  <c r="F399" i="11"/>
  <c r="G399" i="11"/>
  <c r="E400" i="11"/>
  <c r="F400" i="11"/>
  <c r="G400" i="11"/>
  <c r="E401" i="11"/>
  <c r="F401" i="11"/>
  <c r="G401" i="11"/>
  <c r="F393" i="11"/>
  <c r="G393" i="11"/>
  <c r="E393" i="11"/>
  <c r="E347" i="11"/>
  <c r="F347" i="11"/>
  <c r="G347" i="11"/>
  <c r="E348" i="11"/>
  <c r="F348" i="11"/>
  <c r="G348" i="11"/>
  <c r="E349" i="11"/>
  <c r="F349" i="11"/>
  <c r="G349" i="11"/>
  <c r="E350" i="11"/>
  <c r="F350" i="11"/>
  <c r="G350" i="11"/>
  <c r="E351" i="11"/>
  <c r="F351" i="11"/>
  <c r="G351" i="11"/>
  <c r="E352" i="11"/>
  <c r="F352" i="11"/>
  <c r="G352" i="11"/>
  <c r="E353" i="11"/>
  <c r="F353" i="11"/>
  <c r="G353" i="11"/>
  <c r="E354" i="11"/>
  <c r="F354" i="11"/>
  <c r="G354" i="11"/>
  <c r="E355" i="11"/>
  <c r="F355" i="11"/>
  <c r="G355" i="11"/>
  <c r="E356" i="11"/>
  <c r="F356" i="11"/>
  <c r="G356" i="11"/>
  <c r="E357" i="11"/>
  <c r="F357" i="11"/>
  <c r="G357" i="11"/>
  <c r="E358" i="11"/>
  <c r="F358" i="11"/>
  <c r="G358" i="11"/>
  <c r="E359" i="11"/>
  <c r="F359" i="11"/>
  <c r="G359" i="11"/>
  <c r="E360" i="11"/>
  <c r="F360" i="11"/>
  <c r="G360" i="11"/>
  <c r="E361" i="11"/>
  <c r="F361" i="11"/>
  <c r="G361" i="11"/>
  <c r="E362" i="11"/>
  <c r="F362" i="11"/>
  <c r="G362" i="11"/>
  <c r="E363" i="11"/>
  <c r="F363" i="11"/>
  <c r="G363" i="11"/>
  <c r="E364" i="11"/>
  <c r="F364" i="11"/>
  <c r="G364" i="11"/>
  <c r="E365" i="11"/>
  <c r="F365" i="11"/>
  <c r="G365" i="11"/>
  <c r="E366" i="11"/>
  <c r="F366" i="11"/>
  <c r="G366" i="11"/>
  <c r="E367" i="11"/>
  <c r="F367" i="11"/>
  <c r="G367" i="11"/>
  <c r="E368" i="11"/>
  <c r="F368" i="11"/>
  <c r="G368" i="11"/>
  <c r="E369" i="11"/>
  <c r="F369" i="11"/>
  <c r="G369" i="11"/>
  <c r="E370" i="11"/>
  <c r="F370" i="11"/>
  <c r="G370" i="11"/>
  <c r="E371" i="11"/>
  <c r="F371" i="11"/>
  <c r="G371" i="11"/>
  <c r="E372" i="11"/>
  <c r="F372" i="11"/>
  <c r="G372" i="11"/>
  <c r="E373" i="11"/>
  <c r="F373" i="11"/>
  <c r="G373" i="11"/>
  <c r="E374" i="11"/>
  <c r="F374" i="11"/>
  <c r="G374" i="11"/>
  <c r="E375" i="11"/>
  <c r="F375" i="11"/>
  <c r="G375" i="11"/>
  <c r="E376" i="11"/>
  <c r="F376" i="11"/>
  <c r="G376" i="11"/>
  <c r="E377" i="11"/>
  <c r="F377" i="11"/>
  <c r="G377" i="11"/>
  <c r="E378" i="11"/>
  <c r="F378" i="11"/>
  <c r="G378" i="11"/>
  <c r="E379" i="11"/>
  <c r="F379" i="11"/>
  <c r="G379" i="11"/>
  <c r="E380" i="11"/>
  <c r="F380" i="11"/>
  <c r="G380" i="11"/>
  <c r="E381" i="11"/>
  <c r="F381" i="11"/>
  <c r="G381" i="11"/>
  <c r="E382" i="11"/>
  <c r="F382" i="11"/>
  <c r="G382" i="11"/>
  <c r="E383" i="11"/>
  <c r="F383" i="11"/>
  <c r="G383" i="11"/>
  <c r="E384" i="11"/>
  <c r="F384" i="11"/>
  <c r="G384" i="11"/>
  <c r="E385" i="11"/>
  <c r="F385" i="11"/>
  <c r="G385" i="11"/>
  <c r="E386" i="11"/>
  <c r="F386" i="11"/>
  <c r="G386" i="11"/>
  <c r="E387" i="11"/>
  <c r="F387" i="11"/>
  <c r="G387" i="11"/>
  <c r="E388" i="11"/>
  <c r="F388" i="11"/>
  <c r="G388" i="11"/>
  <c r="E389" i="11"/>
  <c r="F389" i="11"/>
  <c r="G389" i="11"/>
  <c r="E390" i="11"/>
  <c r="F390" i="11"/>
  <c r="G390" i="11"/>
  <c r="E391" i="11"/>
  <c r="F391" i="11"/>
  <c r="G391" i="11"/>
  <c r="F346" i="11"/>
  <c r="G346" i="11"/>
  <c r="E346" i="11"/>
  <c r="E337" i="11"/>
  <c r="F337" i="11"/>
  <c r="G337" i="11"/>
  <c r="E338" i="11"/>
  <c r="F338" i="11"/>
  <c r="G338" i="11"/>
  <c r="E339" i="11"/>
  <c r="F339" i="11"/>
  <c r="G339" i="11"/>
  <c r="E340" i="11"/>
  <c r="F340" i="11"/>
  <c r="G340" i="11"/>
  <c r="E341" i="11"/>
  <c r="F341" i="11"/>
  <c r="G341" i="11"/>
  <c r="E342" i="11"/>
  <c r="F342" i="11"/>
  <c r="G342" i="11"/>
  <c r="E343" i="11"/>
  <c r="F343" i="11"/>
  <c r="G343" i="11"/>
  <c r="E344" i="11"/>
  <c r="F344" i="11"/>
  <c r="G344" i="11"/>
  <c r="F336" i="11"/>
  <c r="G336" i="11"/>
  <c r="E336" i="11"/>
  <c r="E290" i="11"/>
  <c r="F290" i="11"/>
  <c r="G290" i="11"/>
  <c r="E291" i="11"/>
  <c r="F291" i="11"/>
  <c r="G291" i="11"/>
  <c r="E292" i="11"/>
  <c r="F292" i="11"/>
  <c r="G292" i="11"/>
  <c r="E293" i="11"/>
  <c r="F293" i="11"/>
  <c r="G293" i="11"/>
  <c r="E294" i="11"/>
  <c r="F294" i="11"/>
  <c r="G294" i="11"/>
  <c r="E295" i="11"/>
  <c r="F295" i="11"/>
  <c r="G295" i="11"/>
  <c r="E296" i="11"/>
  <c r="F296" i="11"/>
  <c r="G296" i="11"/>
  <c r="E297" i="11"/>
  <c r="F297" i="11"/>
  <c r="G297" i="11"/>
  <c r="E298" i="11"/>
  <c r="F298" i="11"/>
  <c r="G298" i="11"/>
  <c r="E299" i="11"/>
  <c r="F299" i="11"/>
  <c r="G299" i="11"/>
  <c r="E300" i="11"/>
  <c r="F300" i="11"/>
  <c r="G300" i="11"/>
  <c r="E301" i="11"/>
  <c r="F301" i="11"/>
  <c r="G301" i="11"/>
  <c r="E302" i="11"/>
  <c r="F302" i="11"/>
  <c r="G302" i="11"/>
  <c r="E303" i="11"/>
  <c r="F303" i="11"/>
  <c r="G303" i="11"/>
  <c r="E304" i="11"/>
  <c r="F304" i="11"/>
  <c r="G304" i="11"/>
  <c r="E305" i="11"/>
  <c r="F305" i="11"/>
  <c r="G305" i="11"/>
  <c r="E306" i="11"/>
  <c r="F306" i="11"/>
  <c r="G306" i="11"/>
  <c r="E307" i="11"/>
  <c r="F307" i="11"/>
  <c r="G307" i="11"/>
  <c r="E308" i="11"/>
  <c r="F308" i="11"/>
  <c r="G308" i="11"/>
  <c r="E309" i="11"/>
  <c r="F309" i="11"/>
  <c r="G309" i="11"/>
  <c r="E310" i="11"/>
  <c r="F310" i="11"/>
  <c r="G310" i="11"/>
  <c r="E311" i="11"/>
  <c r="F311" i="11"/>
  <c r="G311" i="11"/>
  <c r="E312" i="11"/>
  <c r="F312" i="11"/>
  <c r="G312" i="11"/>
  <c r="E313" i="11"/>
  <c r="F313" i="11"/>
  <c r="G313" i="11"/>
  <c r="E314" i="11"/>
  <c r="F314" i="11"/>
  <c r="G314" i="11"/>
  <c r="E315" i="11"/>
  <c r="F315" i="11"/>
  <c r="G315" i="11"/>
  <c r="E316" i="11"/>
  <c r="F316" i="11"/>
  <c r="G316" i="11"/>
  <c r="E317" i="11"/>
  <c r="F317" i="11"/>
  <c r="G317" i="11"/>
  <c r="E318" i="11"/>
  <c r="F318" i="11"/>
  <c r="G318" i="11"/>
  <c r="E319" i="11"/>
  <c r="F319" i="11"/>
  <c r="G319" i="11"/>
  <c r="E320" i="11"/>
  <c r="F320" i="11"/>
  <c r="G320" i="11"/>
  <c r="E321" i="11"/>
  <c r="F321" i="11"/>
  <c r="G321" i="11"/>
  <c r="E322" i="11"/>
  <c r="F322" i="11"/>
  <c r="G322" i="11"/>
  <c r="E323" i="11"/>
  <c r="F323" i="11"/>
  <c r="G323" i="11"/>
  <c r="E324" i="11"/>
  <c r="F324" i="11"/>
  <c r="G324" i="11"/>
  <c r="E325" i="11"/>
  <c r="F325" i="11"/>
  <c r="G325" i="11"/>
  <c r="E326" i="11"/>
  <c r="F326" i="11"/>
  <c r="G326" i="11"/>
  <c r="E327" i="11"/>
  <c r="F327" i="11"/>
  <c r="G327" i="11"/>
  <c r="E328" i="11"/>
  <c r="F328" i="11"/>
  <c r="G328" i="11"/>
  <c r="E329" i="11"/>
  <c r="F329" i="11"/>
  <c r="G329" i="11"/>
  <c r="E330" i="11"/>
  <c r="F330" i="11"/>
  <c r="G330" i="11"/>
  <c r="E331" i="11"/>
  <c r="F331" i="11"/>
  <c r="G331" i="11"/>
  <c r="E332" i="11"/>
  <c r="F332" i="11"/>
  <c r="G332" i="11"/>
  <c r="E333" i="11"/>
  <c r="F333" i="11"/>
  <c r="G333" i="11"/>
  <c r="E334" i="11"/>
  <c r="F334" i="11"/>
  <c r="G334" i="11"/>
  <c r="F289" i="11"/>
  <c r="G289" i="11"/>
  <c r="E289" i="11"/>
  <c r="E280" i="11"/>
  <c r="F280" i="11"/>
  <c r="G280" i="11"/>
  <c r="E281" i="11"/>
  <c r="F281" i="11"/>
  <c r="G281" i="11"/>
  <c r="E282" i="11"/>
  <c r="F282" i="11"/>
  <c r="G282" i="11"/>
  <c r="E283" i="11"/>
  <c r="F283" i="11"/>
  <c r="G283" i="1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F279" i="11"/>
  <c r="G279" i="11"/>
  <c r="E279" i="11"/>
  <c r="E233" i="11"/>
  <c r="F233" i="11"/>
  <c r="G233" i="11"/>
  <c r="E234" i="11"/>
  <c r="F234" i="11"/>
  <c r="G234" i="11"/>
  <c r="E235" i="11"/>
  <c r="F235" i="11"/>
  <c r="G235" i="11"/>
  <c r="E236" i="11"/>
  <c r="F236" i="11"/>
  <c r="G236" i="11"/>
  <c r="E237" i="11"/>
  <c r="F237" i="11"/>
  <c r="G237" i="11"/>
  <c r="E238" i="11"/>
  <c r="F238" i="11"/>
  <c r="G238" i="11"/>
  <c r="E239" i="11"/>
  <c r="F239" i="11"/>
  <c r="G239" i="11"/>
  <c r="E240" i="11"/>
  <c r="F240" i="11"/>
  <c r="G240" i="11"/>
  <c r="E241" i="11"/>
  <c r="F241" i="11"/>
  <c r="G241" i="11"/>
  <c r="E242" i="11"/>
  <c r="F242" i="11"/>
  <c r="G242" i="11"/>
  <c r="E243" i="11"/>
  <c r="F243" i="11"/>
  <c r="G243" i="11"/>
  <c r="E244" i="11"/>
  <c r="F244" i="11"/>
  <c r="G244" i="11"/>
  <c r="E245" i="11"/>
  <c r="F245" i="11"/>
  <c r="G245" i="11"/>
  <c r="E246" i="11"/>
  <c r="F246" i="11"/>
  <c r="G246" i="11"/>
  <c r="E247" i="11"/>
  <c r="F247" i="11"/>
  <c r="G247" i="11"/>
  <c r="E248" i="11"/>
  <c r="F248" i="11"/>
  <c r="G248" i="11"/>
  <c r="E249" i="11"/>
  <c r="F249" i="11"/>
  <c r="G249" i="11"/>
  <c r="E250" i="11"/>
  <c r="F250" i="11"/>
  <c r="G250" i="11"/>
  <c r="E251" i="11"/>
  <c r="F251" i="11"/>
  <c r="G251" i="11"/>
  <c r="E252" i="11"/>
  <c r="F252" i="11"/>
  <c r="G252" i="11"/>
  <c r="E253" i="11"/>
  <c r="F253" i="11"/>
  <c r="G253" i="11"/>
  <c r="E254" i="11"/>
  <c r="F254" i="11"/>
  <c r="G254" i="11"/>
  <c r="E255" i="11"/>
  <c r="F255" i="11"/>
  <c r="G255" i="11"/>
  <c r="E256" i="11"/>
  <c r="F256" i="11"/>
  <c r="G256" i="11"/>
  <c r="E257" i="11"/>
  <c r="F257" i="11"/>
  <c r="G257" i="11"/>
  <c r="E258" i="11"/>
  <c r="F258" i="11"/>
  <c r="G258" i="11"/>
  <c r="E259" i="11"/>
  <c r="F259" i="11"/>
  <c r="G259" i="11"/>
  <c r="E260" i="11"/>
  <c r="F260" i="11"/>
  <c r="G260" i="11"/>
  <c r="E261" i="11"/>
  <c r="F261" i="11"/>
  <c r="G261" i="11"/>
  <c r="E262" i="11"/>
  <c r="F262" i="11"/>
  <c r="G262" i="11"/>
  <c r="E263" i="11"/>
  <c r="F263" i="11"/>
  <c r="G263" i="11"/>
  <c r="E264" i="11"/>
  <c r="F264" i="11"/>
  <c r="G264" i="11"/>
  <c r="E265" i="11"/>
  <c r="F265" i="11"/>
  <c r="G265" i="11"/>
  <c r="E266" i="11"/>
  <c r="F266" i="11"/>
  <c r="G266" i="11"/>
  <c r="E267" i="11"/>
  <c r="F267" i="11"/>
  <c r="G267" i="11"/>
  <c r="E268" i="11"/>
  <c r="F268" i="11"/>
  <c r="G268" i="11"/>
  <c r="E269" i="11"/>
  <c r="F269" i="11"/>
  <c r="G269" i="11"/>
  <c r="E270" i="11"/>
  <c r="F270" i="11"/>
  <c r="G270" i="11"/>
  <c r="E271" i="11"/>
  <c r="F271" i="11"/>
  <c r="G271" i="11"/>
  <c r="E272" i="11"/>
  <c r="F272" i="11"/>
  <c r="G272" i="11"/>
  <c r="E273" i="11"/>
  <c r="F273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F232" i="11"/>
  <c r="G232" i="11"/>
  <c r="E232" i="11"/>
  <c r="E223" i="11"/>
  <c r="F223" i="11"/>
  <c r="G223" i="11"/>
  <c r="E224" i="11"/>
  <c r="F224" i="11"/>
  <c r="G224" i="11"/>
  <c r="E225" i="11"/>
  <c r="F225" i="11"/>
  <c r="G225" i="11"/>
  <c r="E226" i="11"/>
  <c r="F226" i="11"/>
  <c r="G226" i="11"/>
  <c r="E227" i="11"/>
  <c r="F227" i="11"/>
  <c r="G227" i="11"/>
  <c r="E228" i="11"/>
  <c r="F228" i="11"/>
  <c r="G228" i="11"/>
  <c r="E229" i="11"/>
  <c r="F229" i="11"/>
  <c r="G229" i="11"/>
  <c r="E230" i="11"/>
  <c r="F230" i="11"/>
  <c r="G230" i="11"/>
  <c r="F222" i="11"/>
  <c r="G222" i="11"/>
  <c r="E222" i="11"/>
  <c r="E176" i="11"/>
  <c r="F176" i="11"/>
  <c r="G176" i="11"/>
  <c r="E177" i="11"/>
  <c r="F177" i="11"/>
  <c r="G177" i="11"/>
  <c r="E178" i="11"/>
  <c r="F178" i="11"/>
  <c r="G178" i="11"/>
  <c r="E179" i="11"/>
  <c r="F179" i="11"/>
  <c r="G179" i="11"/>
  <c r="E180" i="11"/>
  <c r="F180" i="11"/>
  <c r="G180" i="11"/>
  <c r="E181" i="11"/>
  <c r="F181" i="11"/>
  <c r="G181" i="11"/>
  <c r="E182" i="11"/>
  <c r="F182" i="11"/>
  <c r="G182" i="11"/>
  <c r="E183" i="11"/>
  <c r="F183" i="11"/>
  <c r="G183" i="11"/>
  <c r="E184" i="11"/>
  <c r="F184" i="11"/>
  <c r="G184" i="11"/>
  <c r="E185" i="11"/>
  <c r="F185" i="11"/>
  <c r="G185" i="11"/>
  <c r="E186" i="11"/>
  <c r="F186" i="11"/>
  <c r="G186" i="11"/>
  <c r="E187" i="11"/>
  <c r="F187" i="11"/>
  <c r="G187" i="11"/>
  <c r="E188" i="11"/>
  <c r="F188" i="11"/>
  <c r="G188" i="11"/>
  <c r="E189" i="11"/>
  <c r="F189" i="11"/>
  <c r="G189" i="11"/>
  <c r="E190" i="11"/>
  <c r="F190" i="11"/>
  <c r="G190" i="11"/>
  <c r="E191" i="11"/>
  <c r="F191" i="11"/>
  <c r="G191" i="11"/>
  <c r="E192" i="11"/>
  <c r="F192" i="11"/>
  <c r="G192" i="11"/>
  <c r="E193" i="11"/>
  <c r="F193" i="11"/>
  <c r="G193" i="11"/>
  <c r="E194" i="11"/>
  <c r="F194" i="11"/>
  <c r="G194" i="11"/>
  <c r="E195" i="11"/>
  <c r="F195" i="11"/>
  <c r="G195" i="11"/>
  <c r="E196" i="11"/>
  <c r="F196" i="11"/>
  <c r="G196" i="11"/>
  <c r="E197" i="11"/>
  <c r="F197" i="11"/>
  <c r="G197" i="11"/>
  <c r="E198" i="11"/>
  <c r="F198" i="11"/>
  <c r="G198" i="11"/>
  <c r="E199" i="11"/>
  <c r="F199" i="11"/>
  <c r="G199" i="11"/>
  <c r="E200" i="11"/>
  <c r="F200" i="11"/>
  <c r="G200" i="11"/>
  <c r="E201" i="11"/>
  <c r="F201" i="11"/>
  <c r="G201" i="11"/>
  <c r="E202" i="11"/>
  <c r="F202" i="11"/>
  <c r="G202" i="11"/>
  <c r="E203" i="11"/>
  <c r="F203" i="11"/>
  <c r="G203" i="11"/>
  <c r="E204" i="11"/>
  <c r="F204" i="11"/>
  <c r="G204" i="11"/>
  <c r="E205" i="11"/>
  <c r="F205" i="11"/>
  <c r="G205" i="11"/>
  <c r="E206" i="11"/>
  <c r="F206" i="11"/>
  <c r="G206" i="11"/>
  <c r="E207" i="11"/>
  <c r="F207" i="11"/>
  <c r="G207" i="11"/>
  <c r="E208" i="11"/>
  <c r="F208" i="11"/>
  <c r="G208" i="11"/>
  <c r="E209" i="11"/>
  <c r="F209" i="11"/>
  <c r="G209" i="11"/>
  <c r="E210" i="11"/>
  <c r="F210" i="11"/>
  <c r="G210" i="11"/>
  <c r="E211" i="11"/>
  <c r="F211" i="11"/>
  <c r="G211" i="11"/>
  <c r="E212" i="11"/>
  <c r="F212" i="11"/>
  <c r="G212" i="11"/>
  <c r="E213" i="11"/>
  <c r="F213" i="11"/>
  <c r="G213" i="11"/>
  <c r="E214" i="11"/>
  <c r="F214" i="11"/>
  <c r="G214" i="11"/>
  <c r="E215" i="11"/>
  <c r="F215" i="11"/>
  <c r="G215" i="11"/>
  <c r="E216" i="11"/>
  <c r="F216" i="11"/>
  <c r="G216" i="11"/>
  <c r="E217" i="11"/>
  <c r="F217" i="11"/>
  <c r="G217" i="11"/>
  <c r="E218" i="11"/>
  <c r="F218" i="11"/>
  <c r="G218" i="11"/>
  <c r="E219" i="11"/>
  <c r="F219" i="11"/>
  <c r="G219" i="11"/>
  <c r="E220" i="11"/>
  <c r="F220" i="11"/>
  <c r="G220" i="11"/>
  <c r="F175" i="11"/>
  <c r="G175" i="11"/>
  <c r="E175" i="11"/>
  <c r="E166" i="11"/>
  <c r="F166" i="11"/>
  <c r="G166" i="11"/>
  <c r="E167" i="11"/>
  <c r="F167" i="11"/>
  <c r="G167" i="11"/>
  <c r="E168" i="11"/>
  <c r="F168" i="11"/>
  <c r="G168" i="11"/>
  <c r="E169" i="11"/>
  <c r="F169" i="11"/>
  <c r="G169" i="11"/>
  <c r="E170" i="11"/>
  <c r="F170" i="11"/>
  <c r="G170" i="11"/>
  <c r="E171" i="11"/>
  <c r="F171" i="11"/>
  <c r="G171" i="11"/>
  <c r="E172" i="11"/>
  <c r="F172" i="11"/>
  <c r="G172" i="11"/>
  <c r="E173" i="11"/>
  <c r="F173" i="11"/>
  <c r="G173" i="11"/>
  <c r="F165" i="11"/>
  <c r="G165" i="11"/>
  <c r="E165" i="11"/>
  <c r="E119" i="11"/>
  <c r="F119" i="11"/>
  <c r="G119" i="11"/>
  <c r="E120" i="11"/>
  <c r="F120" i="11"/>
  <c r="G120" i="11"/>
  <c r="E121" i="11"/>
  <c r="F121" i="11"/>
  <c r="G121" i="11"/>
  <c r="E122" i="11"/>
  <c r="F122" i="11"/>
  <c r="G122" i="11"/>
  <c r="E123" i="11"/>
  <c r="F123" i="11"/>
  <c r="G123" i="11"/>
  <c r="E124" i="11"/>
  <c r="F124" i="11"/>
  <c r="G124" i="11"/>
  <c r="E125" i="11"/>
  <c r="F125" i="11"/>
  <c r="G125" i="11"/>
  <c r="E126" i="11"/>
  <c r="F126" i="11"/>
  <c r="G126" i="11"/>
  <c r="E127" i="11"/>
  <c r="F127" i="11"/>
  <c r="G127" i="11"/>
  <c r="E128" i="11"/>
  <c r="F128" i="11"/>
  <c r="G128" i="11"/>
  <c r="E129" i="11"/>
  <c r="F129" i="11"/>
  <c r="G129" i="11"/>
  <c r="E130" i="11"/>
  <c r="F130" i="11"/>
  <c r="G130" i="11"/>
  <c r="E131" i="11"/>
  <c r="F131" i="11"/>
  <c r="G131" i="11"/>
  <c r="E132" i="11"/>
  <c r="F132" i="11"/>
  <c r="G132" i="11"/>
  <c r="E133" i="11"/>
  <c r="F133" i="11"/>
  <c r="G133" i="11"/>
  <c r="E134" i="11"/>
  <c r="F134" i="11"/>
  <c r="G134" i="11"/>
  <c r="E135" i="11"/>
  <c r="F135" i="11"/>
  <c r="G135" i="11"/>
  <c r="E136" i="11"/>
  <c r="F136" i="11"/>
  <c r="G136" i="11"/>
  <c r="E137" i="11"/>
  <c r="F137" i="11"/>
  <c r="G137" i="11"/>
  <c r="E138" i="11"/>
  <c r="F138" i="11"/>
  <c r="G138" i="11"/>
  <c r="E139" i="11"/>
  <c r="F139" i="11"/>
  <c r="G139" i="11"/>
  <c r="E140" i="11"/>
  <c r="F140" i="11"/>
  <c r="G140" i="11"/>
  <c r="E141" i="11"/>
  <c r="F141" i="11"/>
  <c r="G141" i="11"/>
  <c r="E142" i="11"/>
  <c r="F142" i="11"/>
  <c r="G142" i="11"/>
  <c r="E143" i="11"/>
  <c r="F143" i="11"/>
  <c r="G143" i="11"/>
  <c r="E144" i="11"/>
  <c r="F144" i="11"/>
  <c r="G144" i="11"/>
  <c r="E145" i="11"/>
  <c r="F145" i="11"/>
  <c r="G145" i="11"/>
  <c r="E146" i="11"/>
  <c r="F146" i="11"/>
  <c r="G146" i="11"/>
  <c r="E147" i="11"/>
  <c r="F147" i="11"/>
  <c r="G147" i="11"/>
  <c r="E148" i="11"/>
  <c r="F148" i="11"/>
  <c r="G148" i="11"/>
  <c r="E149" i="11"/>
  <c r="F149" i="11"/>
  <c r="G149" i="11"/>
  <c r="E150" i="11"/>
  <c r="F150" i="11"/>
  <c r="G150" i="11"/>
  <c r="E151" i="11"/>
  <c r="F151" i="11"/>
  <c r="G151" i="11"/>
  <c r="E152" i="11"/>
  <c r="F152" i="11"/>
  <c r="G152" i="11"/>
  <c r="E153" i="11"/>
  <c r="F153" i="11"/>
  <c r="G153" i="11"/>
  <c r="E154" i="11"/>
  <c r="F154" i="11"/>
  <c r="G154" i="11"/>
  <c r="E155" i="11"/>
  <c r="F155" i="11"/>
  <c r="G155" i="11"/>
  <c r="E156" i="11"/>
  <c r="F156" i="11"/>
  <c r="G156" i="11"/>
  <c r="E157" i="11"/>
  <c r="F157" i="11"/>
  <c r="G157" i="11"/>
  <c r="E158" i="11"/>
  <c r="F158" i="11"/>
  <c r="G158" i="11"/>
  <c r="E159" i="11"/>
  <c r="F159" i="11"/>
  <c r="G159" i="11"/>
  <c r="E160" i="11"/>
  <c r="F160" i="11"/>
  <c r="G160" i="11"/>
  <c r="E161" i="11"/>
  <c r="F161" i="11"/>
  <c r="G161" i="11"/>
  <c r="E162" i="11"/>
  <c r="F162" i="11"/>
  <c r="G162" i="11"/>
  <c r="E163" i="11"/>
  <c r="F163" i="11"/>
  <c r="G163" i="11"/>
  <c r="F118" i="11"/>
  <c r="G118" i="11"/>
  <c r="E118" i="11"/>
  <c r="E109" i="11"/>
  <c r="F109" i="11"/>
  <c r="G109" i="11"/>
  <c r="E110" i="11"/>
  <c r="F110" i="11"/>
  <c r="G110" i="11"/>
  <c r="E111" i="11"/>
  <c r="F111" i="11"/>
  <c r="G111" i="11"/>
  <c r="E112" i="11"/>
  <c r="F112" i="11"/>
  <c r="G112" i="11"/>
  <c r="E113" i="11"/>
  <c r="F113" i="11"/>
  <c r="G113" i="11"/>
  <c r="E114" i="11"/>
  <c r="F114" i="11"/>
  <c r="G114" i="11"/>
  <c r="E115" i="11"/>
  <c r="F115" i="11"/>
  <c r="G115" i="11"/>
  <c r="E116" i="11"/>
  <c r="F116" i="11"/>
  <c r="G116" i="11"/>
  <c r="F108" i="11"/>
  <c r="G108" i="11"/>
  <c r="E108" i="11"/>
  <c r="E62" i="11"/>
  <c r="F62" i="11"/>
  <c r="G62" i="11"/>
  <c r="E63" i="11"/>
  <c r="F63" i="11"/>
  <c r="G63" i="11"/>
  <c r="E64" i="11"/>
  <c r="F64" i="11"/>
  <c r="G64" i="11"/>
  <c r="E65" i="11"/>
  <c r="F65" i="11"/>
  <c r="G65" i="11"/>
  <c r="E66" i="11"/>
  <c r="F66" i="11"/>
  <c r="G66" i="11"/>
  <c r="E67" i="11"/>
  <c r="F67" i="11"/>
  <c r="G67" i="11"/>
  <c r="E68" i="11"/>
  <c r="F68" i="11"/>
  <c r="G68" i="11"/>
  <c r="E69" i="11"/>
  <c r="F69" i="11"/>
  <c r="G69" i="11"/>
  <c r="E70" i="11"/>
  <c r="F70" i="11"/>
  <c r="G70" i="11"/>
  <c r="E71" i="11"/>
  <c r="F71" i="11"/>
  <c r="G71" i="11"/>
  <c r="E72" i="11"/>
  <c r="F72" i="11"/>
  <c r="G72" i="11"/>
  <c r="E73" i="11"/>
  <c r="F73" i="11"/>
  <c r="G73" i="11"/>
  <c r="E74" i="11"/>
  <c r="F74" i="11"/>
  <c r="G74" i="11"/>
  <c r="E75" i="11"/>
  <c r="F75" i="11"/>
  <c r="G75" i="11"/>
  <c r="E76" i="11"/>
  <c r="F76" i="11"/>
  <c r="G76" i="11"/>
  <c r="E77" i="11"/>
  <c r="F77" i="11"/>
  <c r="G77" i="11"/>
  <c r="E78" i="11"/>
  <c r="F78" i="11"/>
  <c r="G78" i="11"/>
  <c r="E79" i="11"/>
  <c r="F79" i="11"/>
  <c r="G79" i="11"/>
  <c r="E80" i="11"/>
  <c r="F80" i="11"/>
  <c r="G80" i="11"/>
  <c r="E81" i="11"/>
  <c r="F81" i="11"/>
  <c r="G81" i="11"/>
  <c r="E82" i="11"/>
  <c r="F82" i="11"/>
  <c r="G82" i="11"/>
  <c r="E83" i="11"/>
  <c r="F83" i="11"/>
  <c r="G83" i="11"/>
  <c r="E84" i="11"/>
  <c r="F84" i="11"/>
  <c r="G84" i="11"/>
  <c r="E85" i="11"/>
  <c r="F85" i="11"/>
  <c r="G85" i="11"/>
  <c r="E86" i="11"/>
  <c r="F86" i="11"/>
  <c r="G86" i="11"/>
  <c r="E87" i="11"/>
  <c r="F87" i="11"/>
  <c r="G87" i="11"/>
  <c r="E88" i="11"/>
  <c r="F88" i="11"/>
  <c r="G88" i="11"/>
  <c r="E89" i="11"/>
  <c r="F89" i="11"/>
  <c r="G89" i="11"/>
  <c r="E90" i="11"/>
  <c r="F90" i="11"/>
  <c r="G90" i="11"/>
  <c r="E91" i="11"/>
  <c r="F91" i="11"/>
  <c r="G91" i="11"/>
  <c r="E92" i="11"/>
  <c r="F92" i="11"/>
  <c r="G92" i="11"/>
  <c r="E93" i="11"/>
  <c r="F93" i="11"/>
  <c r="G93" i="11"/>
  <c r="E94" i="11"/>
  <c r="F94" i="11"/>
  <c r="G94" i="11"/>
  <c r="E95" i="11"/>
  <c r="F95" i="11"/>
  <c r="G95" i="11"/>
  <c r="E96" i="11"/>
  <c r="F96" i="11"/>
  <c r="G96" i="11"/>
  <c r="E97" i="11"/>
  <c r="F97" i="11"/>
  <c r="G97" i="11"/>
  <c r="E98" i="11"/>
  <c r="F98" i="11"/>
  <c r="G98" i="11"/>
  <c r="E99" i="11"/>
  <c r="F99" i="11"/>
  <c r="G99" i="11"/>
  <c r="E100" i="11"/>
  <c r="F100" i="11"/>
  <c r="G100" i="11"/>
  <c r="E101" i="11"/>
  <c r="F101" i="11"/>
  <c r="G101" i="11"/>
  <c r="E102" i="11"/>
  <c r="F102" i="11"/>
  <c r="G102" i="11"/>
  <c r="E103" i="11"/>
  <c r="F103" i="11"/>
  <c r="G103" i="11"/>
  <c r="E104" i="11"/>
  <c r="F104" i="11"/>
  <c r="G104" i="11"/>
  <c r="E105" i="11"/>
  <c r="F105" i="11"/>
  <c r="G105" i="11"/>
  <c r="E106" i="11"/>
  <c r="F106" i="11"/>
  <c r="G106" i="11"/>
  <c r="F61" i="11"/>
  <c r="G61" i="11"/>
  <c r="E61" i="11"/>
  <c r="B608" i="11"/>
  <c r="C608" i="11"/>
  <c r="D608" i="11"/>
  <c r="B609" i="11"/>
  <c r="C609" i="11"/>
  <c r="D609" i="11"/>
  <c r="B610" i="11"/>
  <c r="C610" i="11"/>
  <c r="D610" i="11"/>
  <c r="B611" i="11"/>
  <c r="C611" i="11"/>
  <c r="D611" i="11"/>
  <c r="B612" i="11"/>
  <c r="C612" i="11"/>
  <c r="D612" i="11"/>
  <c r="B613" i="11"/>
  <c r="C613" i="11"/>
  <c r="D613" i="11"/>
  <c r="B614" i="11"/>
  <c r="C614" i="11"/>
  <c r="D614" i="11"/>
  <c r="B615" i="11"/>
  <c r="C615" i="11"/>
  <c r="D615" i="11"/>
  <c r="B616" i="11"/>
  <c r="C616" i="11"/>
  <c r="D616" i="11"/>
  <c r="B617" i="11"/>
  <c r="C617" i="11"/>
  <c r="D617" i="11"/>
  <c r="B618" i="11"/>
  <c r="C618" i="11"/>
  <c r="D618" i="11"/>
  <c r="B619" i="11"/>
  <c r="C619" i="11"/>
  <c r="D619" i="11"/>
  <c r="B620" i="11"/>
  <c r="C620" i="11"/>
  <c r="D620" i="11"/>
  <c r="C607" i="11"/>
  <c r="D607" i="11"/>
  <c r="B607" i="11"/>
  <c r="B569" i="11"/>
  <c r="C569" i="11"/>
  <c r="D569" i="11"/>
  <c r="B570" i="11"/>
  <c r="C570" i="11"/>
  <c r="D570" i="11"/>
  <c r="B571" i="11"/>
  <c r="C571" i="11"/>
  <c r="D571" i="11"/>
  <c r="B572" i="11"/>
  <c r="C572" i="11"/>
  <c r="D572" i="11"/>
  <c r="B573" i="11"/>
  <c r="C573" i="11"/>
  <c r="D573" i="11"/>
  <c r="B574" i="11"/>
  <c r="C574" i="11"/>
  <c r="D574" i="11"/>
  <c r="B575" i="11"/>
  <c r="C575" i="11"/>
  <c r="D575" i="11"/>
  <c r="B576" i="11"/>
  <c r="C576" i="11"/>
  <c r="D576" i="11"/>
  <c r="B577" i="11"/>
  <c r="C577" i="11"/>
  <c r="D577" i="11"/>
  <c r="B578" i="11"/>
  <c r="C578" i="11"/>
  <c r="D578" i="11"/>
  <c r="B579" i="11"/>
  <c r="C579" i="11"/>
  <c r="D579" i="11"/>
  <c r="B580" i="11"/>
  <c r="C580" i="11"/>
  <c r="D580" i="11"/>
  <c r="B581" i="11"/>
  <c r="C581" i="11"/>
  <c r="D581" i="11"/>
  <c r="B582" i="11"/>
  <c r="C582" i="11"/>
  <c r="D582" i="11"/>
  <c r="B583" i="11"/>
  <c r="C583" i="11"/>
  <c r="D583" i="11"/>
  <c r="B584" i="11"/>
  <c r="C584" i="11"/>
  <c r="D584" i="11"/>
  <c r="B585" i="11"/>
  <c r="C585" i="11"/>
  <c r="D585" i="11"/>
  <c r="B586" i="11"/>
  <c r="C586" i="11"/>
  <c r="D586" i="11"/>
  <c r="B587" i="11"/>
  <c r="C587" i="11"/>
  <c r="D587" i="11"/>
  <c r="B588" i="11"/>
  <c r="C588" i="11"/>
  <c r="D588" i="11"/>
  <c r="B589" i="11"/>
  <c r="C589" i="11"/>
  <c r="D589" i="11"/>
  <c r="B590" i="11"/>
  <c r="C590" i="11"/>
  <c r="D590" i="11"/>
  <c r="B591" i="11"/>
  <c r="C591" i="11"/>
  <c r="D591" i="11"/>
  <c r="B592" i="11"/>
  <c r="C592" i="11"/>
  <c r="D592" i="11"/>
  <c r="B593" i="11"/>
  <c r="C593" i="11"/>
  <c r="D593" i="11"/>
  <c r="B594" i="11"/>
  <c r="C594" i="11"/>
  <c r="D594" i="11"/>
  <c r="B595" i="11"/>
  <c r="C595" i="11"/>
  <c r="D595" i="11"/>
  <c r="B596" i="11"/>
  <c r="C596" i="11"/>
  <c r="D596" i="11"/>
  <c r="B597" i="11"/>
  <c r="C597" i="11"/>
  <c r="D597" i="11"/>
  <c r="B598" i="11"/>
  <c r="C598" i="11"/>
  <c r="D598" i="11"/>
  <c r="B599" i="11"/>
  <c r="C599" i="11"/>
  <c r="D599" i="11"/>
  <c r="B600" i="11"/>
  <c r="C600" i="11"/>
  <c r="D600" i="11"/>
  <c r="B601" i="11"/>
  <c r="C601" i="11"/>
  <c r="D601" i="11"/>
  <c r="B602" i="11"/>
  <c r="C602" i="11"/>
  <c r="D602" i="11"/>
  <c r="B603" i="11"/>
  <c r="C603" i="11"/>
  <c r="D603" i="11"/>
  <c r="B604" i="11"/>
  <c r="C604" i="11"/>
  <c r="D604" i="11"/>
  <c r="B605" i="11"/>
  <c r="C605" i="11"/>
  <c r="D605" i="11"/>
  <c r="C568" i="11"/>
  <c r="D568" i="11"/>
  <c r="B568" i="11"/>
  <c r="B554" i="11"/>
  <c r="C554" i="11"/>
  <c r="D554" i="11"/>
  <c r="B555" i="11"/>
  <c r="C555" i="11"/>
  <c r="D555" i="11"/>
  <c r="B556" i="11"/>
  <c r="C556" i="11"/>
  <c r="D556" i="11"/>
  <c r="B557" i="11"/>
  <c r="C557" i="11"/>
  <c r="D557" i="11"/>
  <c r="B558" i="11"/>
  <c r="C558" i="11"/>
  <c r="D558" i="11"/>
  <c r="B559" i="11"/>
  <c r="C559" i="11"/>
  <c r="D559" i="11"/>
  <c r="B560" i="11"/>
  <c r="C560" i="11"/>
  <c r="D560" i="11"/>
  <c r="B561" i="11"/>
  <c r="C561" i="11"/>
  <c r="D561" i="11"/>
  <c r="B562" i="11"/>
  <c r="C562" i="11"/>
  <c r="D562" i="11"/>
  <c r="B563" i="11"/>
  <c r="C563" i="11"/>
  <c r="D563" i="11"/>
  <c r="B564" i="11"/>
  <c r="C564" i="11"/>
  <c r="D564" i="11"/>
  <c r="B565" i="11"/>
  <c r="C565" i="11"/>
  <c r="D565" i="11"/>
  <c r="B566" i="11"/>
  <c r="C566" i="11"/>
  <c r="D566" i="11"/>
  <c r="C553" i="11"/>
  <c r="D553" i="11"/>
  <c r="B553" i="11"/>
  <c r="B515" i="11"/>
  <c r="C515" i="11"/>
  <c r="D515" i="11"/>
  <c r="B516" i="11"/>
  <c r="C516" i="11"/>
  <c r="D516" i="11"/>
  <c r="B517" i="11"/>
  <c r="C517" i="11"/>
  <c r="D517" i="11"/>
  <c r="B518" i="11"/>
  <c r="C518" i="11"/>
  <c r="D518" i="11"/>
  <c r="B519" i="11"/>
  <c r="C519" i="11"/>
  <c r="D519" i="11"/>
  <c r="B520" i="11"/>
  <c r="C520" i="11"/>
  <c r="D520" i="11"/>
  <c r="B521" i="11"/>
  <c r="C521" i="11"/>
  <c r="D521" i="11"/>
  <c r="B522" i="11"/>
  <c r="C522" i="11"/>
  <c r="D522" i="11"/>
  <c r="B523" i="11"/>
  <c r="C523" i="11"/>
  <c r="D523" i="11"/>
  <c r="B524" i="11"/>
  <c r="C524" i="11"/>
  <c r="D524" i="11"/>
  <c r="B525" i="11"/>
  <c r="C525" i="11"/>
  <c r="D525" i="11"/>
  <c r="B526" i="11"/>
  <c r="C526" i="11"/>
  <c r="D526" i="11"/>
  <c r="B527" i="11"/>
  <c r="C527" i="11"/>
  <c r="D527" i="11"/>
  <c r="B528" i="11"/>
  <c r="C528" i="11"/>
  <c r="D528" i="11"/>
  <c r="B529" i="11"/>
  <c r="C529" i="11"/>
  <c r="D529" i="11"/>
  <c r="B530" i="11"/>
  <c r="C530" i="11"/>
  <c r="D530" i="11"/>
  <c r="B531" i="11"/>
  <c r="C531" i="11"/>
  <c r="D531" i="11"/>
  <c r="B532" i="11"/>
  <c r="C532" i="11"/>
  <c r="D532" i="11"/>
  <c r="B533" i="11"/>
  <c r="C533" i="11"/>
  <c r="D533" i="11"/>
  <c r="B534" i="11"/>
  <c r="C534" i="11"/>
  <c r="D534" i="11"/>
  <c r="B535" i="11"/>
  <c r="C535" i="11"/>
  <c r="D535" i="11"/>
  <c r="B536" i="11"/>
  <c r="C536" i="11"/>
  <c r="D536" i="11"/>
  <c r="B537" i="11"/>
  <c r="C537" i="11"/>
  <c r="D537" i="11"/>
  <c r="B538" i="11"/>
  <c r="C538" i="11"/>
  <c r="D538" i="11"/>
  <c r="B539" i="11"/>
  <c r="C539" i="11"/>
  <c r="D539" i="11"/>
  <c r="B540" i="11"/>
  <c r="C540" i="11"/>
  <c r="D540" i="11"/>
  <c r="B541" i="11"/>
  <c r="C541" i="11"/>
  <c r="D541" i="11"/>
  <c r="B542" i="11"/>
  <c r="C542" i="11"/>
  <c r="D542" i="11"/>
  <c r="B543" i="11"/>
  <c r="C543" i="11"/>
  <c r="D543" i="11"/>
  <c r="B544" i="11"/>
  <c r="C544" i="11"/>
  <c r="D544" i="11"/>
  <c r="B545" i="11"/>
  <c r="C545" i="11"/>
  <c r="D545" i="11"/>
  <c r="B546" i="11"/>
  <c r="C546" i="11"/>
  <c r="D546" i="11"/>
  <c r="B547" i="11"/>
  <c r="C547" i="11"/>
  <c r="D547" i="11"/>
  <c r="B548" i="11"/>
  <c r="C548" i="11"/>
  <c r="D548" i="11"/>
  <c r="B549" i="11"/>
  <c r="C549" i="11"/>
  <c r="D549" i="11"/>
  <c r="B550" i="11"/>
  <c r="C550" i="11"/>
  <c r="D550" i="11"/>
  <c r="B551" i="11"/>
  <c r="C551" i="11"/>
  <c r="D551" i="11"/>
  <c r="C514" i="11"/>
  <c r="D514" i="11"/>
  <c r="B514" i="11"/>
  <c r="B500" i="11"/>
  <c r="C500" i="11"/>
  <c r="D500" i="11"/>
  <c r="B501" i="11"/>
  <c r="C501" i="11"/>
  <c r="D501" i="11"/>
  <c r="B502" i="11"/>
  <c r="C502" i="11"/>
  <c r="D502" i="11"/>
  <c r="B503" i="11"/>
  <c r="C503" i="11"/>
  <c r="D503" i="11"/>
  <c r="B504" i="11"/>
  <c r="C504" i="11"/>
  <c r="D504" i="11"/>
  <c r="B505" i="11"/>
  <c r="C505" i="11"/>
  <c r="D505" i="11"/>
  <c r="B506" i="11"/>
  <c r="C506" i="11"/>
  <c r="D506" i="11"/>
  <c r="B507" i="11"/>
  <c r="C507" i="11"/>
  <c r="D507" i="11"/>
  <c r="B508" i="11"/>
  <c r="C508" i="11"/>
  <c r="D508" i="11"/>
  <c r="B509" i="11"/>
  <c r="C509" i="11"/>
  <c r="D509" i="11"/>
  <c r="B510" i="11"/>
  <c r="C510" i="11"/>
  <c r="D510" i="11"/>
  <c r="B511" i="11"/>
  <c r="C511" i="11"/>
  <c r="D511" i="11"/>
  <c r="B512" i="11"/>
  <c r="C512" i="11"/>
  <c r="D512" i="11"/>
  <c r="C499" i="11"/>
  <c r="D499" i="11"/>
  <c r="B499" i="11"/>
  <c r="B461" i="11"/>
  <c r="C461" i="11"/>
  <c r="D461" i="11"/>
  <c r="B462" i="11"/>
  <c r="C462" i="11"/>
  <c r="D462" i="11"/>
  <c r="B463" i="11"/>
  <c r="C463" i="11"/>
  <c r="D463" i="11"/>
  <c r="B464" i="11"/>
  <c r="C464" i="11"/>
  <c r="D464" i="11"/>
  <c r="B465" i="11"/>
  <c r="C465" i="11"/>
  <c r="D465" i="11"/>
  <c r="B466" i="11"/>
  <c r="C466" i="11"/>
  <c r="D466" i="11"/>
  <c r="B467" i="11"/>
  <c r="C467" i="11"/>
  <c r="D467" i="11"/>
  <c r="B468" i="11"/>
  <c r="C468" i="11"/>
  <c r="D468" i="11"/>
  <c r="B469" i="11"/>
  <c r="C469" i="11"/>
  <c r="D469" i="11"/>
  <c r="B470" i="11"/>
  <c r="C470" i="11"/>
  <c r="D470" i="11"/>
  <c r="B471" i="11"/>
  <c r="C471" i="11"/>
  <c r="D471" i="11"/>
  <c r="B472" i="11"/>
  <c r="C472" i="11"/>
  <c r="D472" i="11"/>
  <c r="B473" i="11"/>
  <c r="C473" i="11"/>
  <c r="D473" i="11"/>
  <c r="B474" i="11"/>
  <c r="C474" i="11"/>
  <c r="D474" i="11"/>
  <c r="B475" i="11"/>
  <c r="C475" i="11"/>
  <c r="D475" i="11"/>
  <c r="B476" i="11"/>
  <c r="C476" i="11"/>
  <c r="D476" i="11"/>
  <c r="B477" i="11"/>
  <c r="C477" i="11"/>
  <c r="D477" i="11"/>
  <c r="B478" i="11"/>
  <c r="C478" i="11"/>
  <c r="D478" i="11"/>
  <c r="B479" i="11"/>
  <c r="C479" i="11"/>
  <c r="D479" i="11"/>
  <c r="B480" i="11"/>
  <c r="C480" i="11"/>
  <c r="D480" i="11"/>
  <c r="B481" i="11"/>
  <c r="C481" i="11"/>
  <c r="D481" i="11"/>
  <c r="B482" i="11"/>
  <c r="C482" i="11"/>
  <c r="D482" i="11"/>
  <c r="B483" i="11"/>
  <c r="C483" i="11"/>
  <c r="D483" i="11"/>
  <c r="B484" i="11"/>
  <c r="C484" i="11"/>
  <c r="D484" i="11"/>
  <c r="B485" i="11"/>
  <c r="C485" i="11"/>
  <c r="D485" i="11"/>
  <c r="B486" i="11"/>
  <c r="C486" i="11"/>
  <c r="D486" i="11"/>
  <c r="B487" i="11"/>
  <c r="C487" i="11"/>
  <c r="D487" i="11"/>
  <c r="B488" i="11"/>
  <c r="C488" i="11"/>
  <c r="D488" i="11"/>
  <c r="B489" i="11"/>
  <c r="C489" i="11"/>
  <c r="D489" i="11"/>
  <c r="B490" i="11"/>
  <c r="C490" i="11"/>
  <c r="D490" i="11"/>
  <c r="B491" i="11"/>
  <c r="C491" i="11"/>
  <c r="D491" i="11"/>
  <c r="B492" i="11"/>
  <c r="C492" i="11"/>
  <c r="D492" i="11"/>
  <c r="B493" i="11"/>
  <c r="C493" i="11"/>
  <c r="D493" i="11"/>
  <c r="B494" i="11"/>
  <c r="C494" i="11"/>
  <c r="D494" i="11"/>
  <c r="B495" i="11"/>
  <c r="C495" i="11"/>
  <c r="D495" i="11"/>
  <c r="B496" i="11"/>
  <c r="C496" i="11"/>
  <c r="D496" i="11"/>
  <c r="B497" i="11"/>
  <c r="C497" i="11"/>
  <c r="D497" i="11"/>
  <c r="C460" i="11"/>
  <c r="D460" i="11"/>
  <c r="B460" i="11"/>
  <c r="B451" i="11"/>
  <c r="C451" i="11"/>
  <c r="D451" i="11"/>
  <c r="B452" i="11"/>
  <c r="C452" i="11"/>
  <c r="D452" i="11"/>
  <c r="B453" i="11"/>
  <c r="C453" i="11"/>
  <c r="D453" i="11"/>
  <c r="B454" i="11"/>
  <c r="C454" i="11"/>
  <c r="D454" i="11"/>
  <c r="B455" i="11"/>
  <c r="C455" i="11"/>
  <c r="D455" i="11"/>
  <c r="B456" i="11"/>
  <c r="C456" i="11"/>
  <c r="D456" i="11"/>
  <c r="B457" i="11"/>
  <c r="C457" i="11"/>
  <c r="D457" i="11"/>
  <c r="B458" i="11"/>
  <c r="C458" i="11"/>
  <c r="D458" i="11"/>
  <c r="C450" i="11"/>
  <c r="D450" i="11"/>
  <c r="B450" i="11"/>
  <c r="B404" i="11"/>
  <c r="C404" i="11"/>
  <c r="D404" i="11"/>
  <c r="B405" i="11"/>
  <c r="C405" i="11"/>
  <c r="D405" i="11"/>
  <c r="B406" i="11"/>
  <c r="C406" i="11"/>
  <c r="D406" i="11"/>
  <c r="B407" i="11"/>
  <c r="C407" i="11"/>
  <c r="D407" i="11"/>
  <c r="B408" i="11"/>
  <c r="C408" i="11"/>
  <c r="D408" i="11"/>
  <c r="B409" i="11"/>
  <c r="C409" i="11"/>
  <c r="D409" i="11"/>
  <c r="B410" i="11"/>
  <c r="C410" i="11"/>
  <c r="D410" i="11"/>
  <c r="B411" i="11"/>
  <c r="C411" i="11"/>
  <c r="D411" i="11"/>
  <c r="B412" i="11"/>
  <c r="C412" i="11"/>
  <c r="D412" i="11"/>
  <c r="B413" i="11"/>
  <c r="C413" i="11"/>
  <c r="D413" i="11"/>
  <c r="B414" i="11"/>
  <c r="C414" i="11"/>
  <c r="D414" i="11"/>
  <c r="B415" i="11"/>
  <c r="C415" i="11"/>
  <c r="D415" i="11"/>
  <c r="B416" i="11"/>
  <c r="C416" i="11"/>
  <c r="D416" i="11"/>
  <c r="B417" i="11"/>
  <c r="C417" i="11"/>
  <c r="D417" i="11"/>
  <c r="B418" i="11"/>
  <c r="C418" i="11"/>
  <c r="D418" i="11"/>
  <c r="B419" i="11"/>
  <c r="C419" i="11"/>
  <c r="D419" i="11"/>
  <c r="B420" i="11"/>
  <c r="C420" i="11"/>
  <c r="D420" i="11"/>
  <c r="B421" i="11"/>
  <c r="C421" i="11"/>
  <c r="D421" i="11"/>
  <c r="B422" i="11"/>
  <c r="C422" i="11"/>
  <c r="D422" i="11"/>
  <c r="B423" i="11"/>
  <c r="C423" i="11"/>
  <c r="D423" i="11"/>
  <c r="B424" i="11"/>
  <c r="C424" i="11"/>
  <c r="D424" i="11"/>
  <c r="B425" i="11"/>
  <c r="C425" i="11"/>
  <c r="D425" i="11"/>
  <c r="B426" i="11"/>
  <c r="C426" i="11"/>
  <c r="D426" i="11"/>
  <c r="B427" i="11"/>
  <c r="C427" i="11"/>
  <c r="D427" i="11"/>
  <c r="B428" i="11"/>
  <c r="C428" i="11"/>
  <c r="D428" i="11"/>
  <c r="B429" i="11"/>
  <c r="C429" i="11"/>
  <c r="D429" i="11"/>
  <c r="B430" i="11"/>
  <c r="C430" i="11"/>
  <c r="D430" i="11"/>
  <c r="B431" i="11"/>
  <c r="C431" i="11"/>
  <c r="D431" i="11"/>
  <c r="B432" i="11"/>
  <c r="C432" i="11"/>
  <c r="D432" i="11"/>
  <c r="B433" i="11"/>
  <c r="C433" i="11"/>
  <c r="D433" i="11"/>
  <c r="B434" i="11"/>
  <c r="C434" i="11"/>
  <c r="D434" i="11"/>
  <c r="B435" i="11"/>
  <c r="C435" i="11"/>
  <c r="D435" i="11"/>
  <c r="B436" i="11"/>
  <c r="C436" i="11"/>
  <c r="D436" i="11"/>
  <c r="B437" i="11"/>
  <c r="C437" i="11"/>
  <c r="D437" i="11"/>
  <c r="B438" i="11"/>
  <c r="C438" i="11"/>
  <c r="D438" i="11"/>
  <c r="B439" i="11"/>
  <c r="C439" i="11"/>
  <c r="D439" i="11"/>
  <c r="B440" i="11"/>
  <c r="C440" i="11"/>
  <c r="D440" i="11"/>
  <c r="B441" i="11"/>
  <c r="C441" i="11"/>
  <c r="D441" i="11"/>
  <c r="B442" i="11"/>
  <c r="C442" i="11"/>
  <c r="D442" i="11"/>
  <c r="B443" i="11"/>
  <c r="C443" i="11"/>
  <c r="D443" i="11"/>
  <c r="B444" i="11"/>
  <c r="C444" i="11"/>
  <c r="D444" i="11"/>
  <c r="B445" i="11"/>
  <c r="C445" i="11"/>
  <c r="D445" i="11"/>
  <c r="B446" i="11"/>
  <c r="C446" i="11"/>
  <c r="D446" i="11"/>
  <c r="B447" i="11"/>
  <c r="C447" i="11"/>
  <c r="D447" i="11"/>
  <c r="B448" i="11"/>
  <c r="C448" i="11"/>
  <c r="D448" i="11"/>
  <c r="C403" i="11"/>
  <c r="D403" i="11"/>
  <c r="B403" i="11"/>
  <c r="B394" i="11"/>
  <c r="C394" i="11"/>
  <c r="D394" i="11"/>
  <c r="B395" i="11"/>
  <c r="C395" i="11"/>
  <c r="D395" i="11"/>
  <c r="B396" i="11"/>
  <c r="C396" i="11"/>
  <c r="D396" i="11"/>
  <c r="B397" i="11"/>
  <c r="C397" i="11"/>
  <c r="D397" i="11"/>
  <c r="B398" i="11"/>
  <c r="C398" i="11"/>
  <c r="D398" i="11"/>
  <c r="B399" i="11"/>
  <c r="C399" i="11"/>
  <c r="D399" i="11"/>
  <c r="B400" i="11"/>
  <c r="C400" i="11"/>
  <c r="D400" i="11"/>
  <c r="B401" i="11"/>
  <c r="C401" i="11"/>
  <c r="D401" i="11"/>
  <c r="C393" i="11"/>
  <c r="D393" i="11"/>
  <c r="B393" i="11"/>
  <c r="B347" i="11"/>
  <c r="C347" i="11"/>
  <c r="D347" i="11"/>
  <c r="B348" i="11"/>
  <c r="C348" i="11"/>
  <c r="D348" i="11"/>
  <c r="B349" i="11"/>
  <c r="C349" i="11"/>
  <c r="D349" i="11"/>
  <c r="B350" i="11"/>
  <c r="C350" i="11"/>
  <c r="D350" i="11"/>
  <c r="B351" i="11"/>
  <c r="C351" i="11"/>
  <c r="D351" i="11"/>
  <c r="B352" i="11"/>
  <c r="C352" i="11"/>
  <c r="D352" i="11"/>
  <c r="B353" i="11"/>
  <c r="C353" i="11"/>
  <c r="D353" i="11"/>
  <c r="B354" i="11"/>
  <c r="C354" i="11"/>
  <c r="D354" i="11"/>
  <c r="B355" i="11"/>
  <c r="C355" i="11"/>
  <c r="D355" i="11"/>
  <c r="B356" i="11"/>
  <c r="C356" i="11"/>
  <c r="D356" i="11"/>
  <c r="B357" i="11"/>
  <c r="C357" i="11"/>
  <c r="D357" i="11"/>
  <c r="B358" i="11"/>
  <c r="C358" i="11"/>
  <c r="D358" i="11"/>
  <c r="B359" i="11"/>
  <c r="C359" i="11"/>
  <c r="D359" i="11"/>
  <c r="B360" i="11"/>
  <c r="C360" i="11"/>
  <c r="D360" i="11"/>
  <c r="B361" i="11"/>
  <c r="C361" i="11"/>
  <c r="D361" i="11"/>
  <c r="B362" i="11"/>
  <c r="C362" i="11"/>
  <c r="D362" i="11"/>
  <c r="B363" i="11"/>
  <c r="C363" i="11"/>
  <c r="D363" i="11"/>
  <c r="B364" i="11"/>
  <c r="C364" i="11"/>
  <c r="D364" i="11"/>
  <c r="B365" i="11"/>
  <c r="C365" i="11"/>
  <c r="D365" i="11"/>
  <c r="B366" i="11"/>
  <c r="C366" i="11"/>
  <c r="D366" i="11"/>
  <c r="B367" i="11"/>
  <c r="C367" i="11"/>
  <c r="D367" i="11"/>
  <c r="B368" i="11"/>
  <c r="C368" i="11"/>
  <c r="D368" i="11"/>
  <c r="B369" i="11"/>
  <c r="C369" i="11"/>
  <c r="D369" i="11"/>
  <c r="B370" i="11"/>
  <c r="C370" i="11"/>
  <c r="D370" i="11"/>
  <c r="B371" i="11"/>
  <c r="C371" i="11"/>
  <c r="D371" i="11"/>
  <c r="B372" i="11"/>
  <c r="C372" i="11"/>
  <c r="D372" i="11"/>
  <c r="B373" i="11"/>
  <c r="C373" i="11"/>
  <c r="D373" i="11"/>
  <c r="B374" i="11"/>
  <c r="C374" i="11"/>
  <c r="D374" i="11"/>
  <c r="B375" i="11"/>
  <c r="C375" i="11"/>
  <c r="D375" i="11"/>
  <c r="B376" i="11"/>
  <c r="C376" i="11"/>
  <c r="D376" i="11"/>
  <c r="B377" i="11"/>
  <c r="C377" i="11"/>
  <c r="D377" i="11"/>
  <c r="B378" i="11"/>
  <c r="C378" i="11"/>
  <c r="D378" i="11"/>
  <c r="B379" i="11"/>
  <c r="C379" i="11"/>
  <c r="D379" i="11"/>
  <c r="B380" i="11"/>
  <c r="C380" i="11"/>
  <c r="D380" i="11"/>
  <c r="B381" i="11"/>
  <c r="C381" i="11"/>
  <c r="D381" i="11"/>
  <c r="B382" i="11"/>
  <c r="C382" i="11"/>
  <c r="D382" i="11"/>
  <c r="B383" i="11"/>
  <c r="C383" i="11"/>
  <c r="D383" i="11"/>
  <c r="B384" i="11"/>
  <c r="C384" i="11"/>
  <c r="D384" i="11"/>
  <c r="B385" i="11"/>
  <c r="C385" i="11"/>
  <c r="D385" i="11"/>
  <c r="B386" i="11"/>
  <c r="C386" i="11"/>
  <c r="D386" i="11"/>
  <c r="B387" i="11"/>
  <c r="C387" i="11"/>
  <c r="D387" i="11"/>
  <c r="B388" i="11"/>
  <c r="C388" i="11"/>
  <c r="D388" i="11"/>
  <c r="B389" i="11"/>
  <c r="C389" i="11"/>
  <c r="D389" i="11"/>
  <c r="B390" i="11"/>
  <c r="C390" i="11"/>
  <c r="D390" i="11"/>
  <c r="B391" i="11"/>
  <c r="C391" i="11"/>
  <c r="D391" i="11"/>
  <c r="C346" i="11"/>
  <c r="D346" i="11"/>
  <c r="B346" i="11"/>
  <c r="B337" i="11"/>
  <c r="C337" i="11"/>
  <c r="D337" i="11"/>
  <c r="B338" i="11"/>
  <c r="C338" i="11"/>
  <c r="D338" i="11"/>
  <c r="B339" i="11"/>
  <c r="C339" i="11"/>
  <c r="D339" i="11"/>
  <c r="B340" i="11"/>
  <c r="C340" i="11"/>
  <c r="D340" i="11"/>
  <c r="B341" i="11"/>
  <c r="C341" i="11"/>
  <c r="D341" i="11"/>
  <c r="B342" i="11"/>
  <c r="C342" i="11"/>
  <c r="D342" i="11"/>
  <c r="B343" i="11"/>
  <c r="C343" i="11"/>
  <c r="D343" i="11"/>
  <c r="B344" i="11"/>
  <c r="C344" i="11"/>
  <c r="D344" i="11"/>
  <c r="C336" i="11"/>
  <c r="D336" i="11"/>
  <c r="B336" i="11"/>
  <c r="B290" i="11"/>
  <c r="C290" i="11"/>
  <c r="D290" i="11"/>
  <c r="B291" i="11"/>
  <c r="C291" i="11"/>
  <c r="D291" i="11"/>
  <c r="B292" i="11"/>
  <c r="C292" i="11"/>
  <c r="D292" i="11"/>
  <c r="B293" i="11"/>
  <c r="C293" i="11"/>
  <c r="D293" i="11"/>
  <c r="B294" i="11"/>
  <c r="C294" i="11"/>
  <c r="D294" i="11"/>
  <c r="B295" i="11"/>
  <c r="C295" i="11"/>
  <c r="D295" i="11"/>
  <c r="B296" i="11"/>
  <c r="C296" i="11"/>
  <c r="D296" i="11"/>
  <c r="B297" i="11"/>
  <c r="C297" i="11"/>
  <c r="D297" i="11"/>
  <c r="B298" i="11"/>
  <c r="C298" i="11"/>
  <c r="D298" i="11"/>
  <c r="B299" i="11"/>
  <c r="C299" i="11"/>
  <c r="D299" i="11"/>
  <c r="B300" i="11"/>
  <c r="C300" i="11"/>
  <c r="D300" i="11"/>
  <c r="B301" i="11"/>
  <c r="C301" i="11"/>
  <c r="D301" i="11"/>
  <c r="B302" i="11"/>
  <c r="C302" i="11"/>
  <c r="D302" i="11"/>
  <c r="B303" i="11"/>
  <c r="C303" i="11"/>
  <c r="D303" i="11"/>
  <c r="B304" i="11"/>
  <c r="C304" i="11"/>
  <c r="D304" i="11"/>
  <c r="B305" i="11"/>
  <c r="C305" i="11"/>
  <c r="D305" i="11"/>
  <c r="B306" i="11"/>
  <c r="C306" i="11"/>
  <c r="D306" i="11"/>
  <c r="B307" i="11"/>
  <c r="C307" i="11"/>
  <c r="D307" i="11"/>
  <c r="B308" i="11"/>
  <c r="C308" i="11"/>
  <c r="D308" i="11"/>
  <c r="B309" i="11"/>
  <c r="C309" i="11"/>
  <c r="D309" i="11"/>
  <c r="B310" i="11"/>
  <c r="C310" i="11"/>
  <c r="D310" i="11"/>
  <c r="B311" i="11"/>
  <c r="C311" i="11"/>
  <c r="D311" i="11"/>
  <c r="B312" i="11"/>
  <c r="C312" i="11"/>
  <c r="D312" i="11"/>
  <c r="B313" i="11"/>
  <c r="C313" i="11"/>
  <c r="D313" i="11"/>
  <c r="B314" i="11"/>
  <c r="C314" i="11"/>
  <c r="D314" i="11"/>
  <c r="B315" i="11"/>
  <c r="C315" i="11"/>
  <c r="D315" i="11"/>
  <c r="B316" i="11"/>
  <c r="C316" i="11"/>
  <c r="D316" i="11"/>
  <c r="B317" i="11"/>
  <c r="C317" i="11"/>
  <c r="D317" i="11"/>
  <c r="B318" i="11"/>
  <c r="C318" i="11"/>
  <c r="D318" i="11"/>
  <c r="B319" i="11"/>
  <c r="C319" i="11"/>
  <c r="D319" i="11"/>
  <c r="B320" i="11"/>
  <c r="C320" i="11"/>
  <c r="D320" i="11"/>
  <c r="B321" i="11"/>
  <c r="C321" i="11"/>
  <c r="D321" i="11"/>
  <c r="B322" i="11"/>
  <c r="C322" i="11"/>
  <c r="D322" i="11"/>
  <c r="B323" i="11"/>
  <c r="C323" i="11"/>
  <c r="D323" i="11"/>
  <c r="B324" i="11"/>
  <c r="C324" i="11"/>
  <c r="D324" i="11"/>
  <c r="B325" i="11"/>
  <c r="C325" i="11"/>
  <c r="D325" i="11"/>
  <c r="B326" i="11"/>
  <c r="C326" i="11"/>
  <c r="D326" i="11"/>
  <c r="B327" i="11"/>
  <c r="C327" i="11"/>
  <c r="D327" i="11"/>
  <c r="B328" i="11"/>
  <c r="C328" i="11"/>
  <c r="D328" i="11"/>
  <c r="B329" i="11"/>
  <c r="C329" i="11"/>
  <c r="D329" i="11"/>
  <c r="B330" i="11"/>
  <c r="C330" i="11"/>
  <c r="D330" i="11"/>
  <c r="B331" i="11"/>
  <c r="C331" i="11"/>
  <c r="D331" i="11"/>
  <c r="B332" i="11"/>
  <c r="C332" i="11"/>
  <c r="D332" i="11"/>
  <c r="B333" i="11"/>
  <c r="C333" i="11"/>
  <c r="D333" i="11"/>
  <c r="B334" i="11"/>
  <c r="C334" i="11"/>
  <c r="D334" i="11"/>
  <c r="C289" i="11"/>
  <c r="D289" i="11"/>
  <c r="B289" i="11"/>
  <c r="B280" i="11"/>
  <c r="C280" i="11"/>
  <c r="D280" i="11"/>
  <c r="B281" i="11"/>
  <c r="C281" i="11"/>
  <c r="D281" i="11"/>
  <c r="B282" i="11"/>
  <c r="C282" i="11"/>
  <c r="D282" i="11"/>
  <c r="B283" i="11"/>
  <c r="C283" i="11"/>
  <c r="D283" i="11"/>
  <c r="B284" i="11"/>
  <c r="C284" i="11"/>
  <c r="D284" i="11"/>
  <c r="B285" i="11"/>
  <c r="C285" i="11"/>
  <c r="D285" i="11"/>
  <c r="B286" i="11"/>
  <c r="C286" i="11"/>
  <c r="D286" i="11"/>
  <c r="B287" i="11"/>
  <c r="C287" i="11"/>
  <c r="D287" i="11"/>
  <c r="C279" i="11"/>
  <c r="D279" i="11"/>
  <c r="B279" i="11"/>
  <c r="B233" i="11"/>
  <c r="C233" i="11"/>
  <c r="D233" i="11"/>
  <c r="B234" i="11"/>
  <c r="C234" i="11"/>
  <c r="D234" i="11"/>
  <c r="B235" i="11"/>
  <c r="C235" i="11"/>
  <c r="D235" i="11"/>
  <c r="B236" i="11"/>
  <c r="C236" i="11"/>
  <c r="D236" i="11"/>
  <c r="B237" i="11"/>
  <c r="C237" i="11"/>
  <c r="D237" i="11"/>
  <c r="B238" i="11"/>
  <c r="C238" i="11"/>
  <c r="D238" i="11"/>
  <c r="B239" i="11"/>
  <c r="C239" i="11"/>
  <c r="D239" i="11"/>
  <c r="B240" i="11"/>
  <c r="C240" i="11"/>
  <c r="D240" i="11"/>
  <c r="B241" i="11"/>
  <c r="C241" i="11"/>
  <c r="D241" i="11"/>
  <c r="B242" i="11"/>
  <c r="C242" i="11"/>
  <c r="D242" i="11"/>
  <c r="B243" i="11"/>
  <c r="C243" i="11"/>
  <c r="D243" i="11"/>
  <c r="B244" i="11"/>
  <c r="C244" i="11"/>
  <c r="D244" i="11"/>
  <c r="B245" i="11"/>
  <c r="C245" i="11"/>
  <c r="D245" i="11"/>
  <c r="B246" i="11"/>
  <c r="C246" i="11"/>
  <c r="D246" i="11"/>
  <c r="B247" i="11"/>
  <c r="C247" i="11"/>
  <c r="D247" i="11"/>
  <c r="B248" i="11"/>
  <c r="C248" i="11"/>
  <c r="D248" i="11"/>
  <c r="B249" i="11"/>
  <c r="C249" i="11"/>
  <c r="D249" i="11"/>
  <c r="B250" i="11"/>
  <c r="C250" i="11"/>
  <c r="D250" i="11"/>
  <c r="B251" i="11"/>
  <c r="C251" i="11"/>
  <c r="D251" i="11"/>
  <c r="B252" i="11"/>
  <c r="C252" i="11"/>
  <c r="D252" i="11"/>
  <c r="B253" i="11"/>
  <c r="C253" i="11"/>
  <c r="D253" i="11"/>
  <c r="B254" i="11"/>
  <c r="C254" i="11"/>
  <c r="D254" i="11"/>
  <c r="B255" i="11"/>
  <c r="C255" i="11"/>
  <c r="D255" i="11"/>
  <c r="B256" i="11"/>
  <c r="C256" i="11"/>
  <c r="D256" i="11"/>
  <c r="B257" i="11"/>
  <c r="C257" i="11"/>
  <c r="D257" i="11"/>
  <c r="B258" i="11"/>
  <c r="C258" i="11"/>
  <c r="D258" i="11"/>
  <c r="B259" i="11"/>
  <c r="C259" i="11"/>
  <c r="D259" i="11"/>
  <c r="B260" i="11"/>
  <c r="C260" i="11"/>
  <c r="D260" i="11"/>
  <c r="B261" i="11"/>
  <c r="C261" i="11"/>
  <c r="D261" i="11"/>
  <c r="B262" i="11"/>
  <c r="C262" i="11"/>
  <c r="D262" i="11"/>
  <c r="B263" i="11"/>
  <c r="C263" i="11"/>
  <c r="D263" i="11"/>
  <c r="B264" i="11"/>
  <c r="C264" i="11"/>
  <c r="D264" i="11"/>
  <c r="B265" i="11"/>
  <c r="C265" i="11"/>
  <c r="D265" i="11"/>
  <c r="B266" i="11"/>
  <c r="C266" i="11"/>
  <c r="D266" i="11"/>
  <c r="B267" i="11"/>
  <c r="C267" i="11"/>
  <c r="D267" i="11"/>
  <c r="B268" i="11"/>
  <c r="C268" i="11"/>
  <c r="D268" i="11"/>
  <c r="B269" i="11"/>
  <c r="C269" i="11"/>
  <c r="D269" i="11"/>
  <c r="B270" i="11"/>
  <c r="C270" i="11"/>
  <c r="D270" i="11"/>
  <c r="B271" i="11"/>
  <c r="C271" i="11"/>
  <c r="D271" i="11"/>
  <c r="B272" i="11"/>
  <c r="C272" i="11"/>
  <c r="D272" i="11"/>
  <c r="B273" i="11"/>
  <c r="C273" i="11"/>
  <c r="D273" i="11"/>
  <c r="B274" i="11"/>
  <c r="C274" i="11"/>
  <c r="D274" i="11"/>
  <c r="B275" i="11"/>
  <c r="C275" i="11"/>
  <c r="D275" i="11"/>
  <c r="B276" i="11"/>
  <c r="C276" i="11"/>
  <c r="D276" i="11"/>
  <c r="B277" i="11"/>
  <c r="C277" i="11"/>
  <c r="D277" i="11"/>
  <c r="C232" i="11"/>
  <c r="D232" i="11"/>
  <c r="B232" i="11"/>
  <c r="B223" i="11"/>
  <c r="C223" i="11"/>
  <c r="D223" i="11"/>
  <c r="B224" i="11"/>
  <c r="C224" i="11"/>
  <c r="D224" i="11"/>
  <c r="B225" i="11"/>
  <c r="C225" i="11"/>
  <c r="D225" i="11"/>
  <c r="B226" i="11"/>
  <c r="C226" i="11"/>
  <c r="D226" i="11"/>
  <c r="B227" i="11"/>
  <c r="C227" i="11"/>
  <c r="D227" i="11"/>
  <c r="B228" i="11"/>
  <c r="C228" i="11"/>
  <c r="D228" i="11"/>
  <c r="B229" i="11"/>
  <c r="C229" i="11"/>
  <c r="D229" i="11"/>
  <c r="B230" i="11"/>
  <c r="C230" i="11"/>
  <c r="D230" i="11"/>
  <c r="C222" i="11"/>
  <c r="D222" i="11"/>
  <c r="B222" i="11"/>
  <c r="B176" i="11"/>
  <c r="C176" i="11"/>
  <c r="D176" i="11"/>
  <c r="B177" i="11"/>
  <c r="C177" i="11"/>
  <c r="D177" i="11"/>
  <c r="B178" i="11"/>
  <c r="C178" i="11"/>
  <c r="D178" i="11"/>
  <c r="B179" i="11"/>
  <c r="C179" i="11"/>
  <c r="D179" i="11"/>
  <c r="B180" i="11"/>
  <c r="C180" i="11"/>
  <c r="D180" i="11"/>
  <c r="B181" i="11"/>
  <c r="C181" i="11"/>
  <c r="D181" i="11"/>
  <c r="B182" i="11"/>
  <c r="C182" i="11"/>
  <c r="D182" i="11"/>
  <c r="B183" i="11"/>
  <c r="C183" i="11"/>
  <c r="D183" i="11"/>
  <c r="B184" i="11"/>
  <c r="C184" i="11"/>
  <c r="D184" i="11"/>
  <c r="B185" i="11"/>
  <c r="C185" i="11"/>
  <c r="D185" i="11"/>
  <c r="B186" i="11"/>
  <c r="C186" i="11"/>
  <c r="D186" i="11"/>
  <c r="B187" i="11"/>
  <c r="C187" i="11"/>
  <c r="D187" i="11"/>
  <c r="B188" i="11"/>
  <c r="C188" i="11"/>
  <c r="D188" i="11"/>
  <c r="B189" i="11"/>
  <c r="C189" i="11"/>
  <c r="D189" i="11"/>
  <c r="B190" i="11"/>
  <c r="C190" i="11"/>
  <c r="D190" i="11"/>
  <c r="B191" i="11"/>
  <c r="C191" i="11"/>
  <c r="D191" i="11"/>
  <c r="B192" i="11"/>
  <c r="C192" i="11"/>
  <c r="D192" i="11"/>
  <c r="B193" i="11"/>
  <c r="C193" i="11"/>
  <c r="D193" i="11"/>
  <c r="B194" i="11"/>
  <c r="C194" i="11"/>
  <c r="D194" i="11"/>
  <c r="B195" i="11"/>
  <c r="C195" i="11"/>
  <c r="D195" i="11"/>
  <c r="B196" i="11"/>
  <c r="C196" i="11"/>
  <c r="D196" i="11"/>
  <c r="B197" i="11"/>
  <c r="C197" i="11"/>
  <c r="D197" i="11"/>
  <c r="B198" i="11"/>
  <c r="C198" i="11"/>
  <c r="D198" i="11"/>
  <c r="B199" i="11"/>
  <c r="C199" i="11"/>
  <c r="D199" i="11"/>
  <c r="B200" i="11"/>
  <c r="C200" i="11"/>
  <c r="D200" i="11"/>
  <c r="B201" i="11"/>
  <c r="C201" i="11"/>
  <c r="D201" i="11"/>
  <c r="B202" i="11"/>
  <c r="C202" i="11"/>
  <c r="D202" i="11"/>
  <c r="B203" i="11"/>
  <c r="C203" i="11"/>
  <c r="D203" i="11"/>
  <c r="B204" i="11"/>
  <c r="C204" i="11"/>
  <c r="D204" i="11"/>
  <c r="B205" i="11"/>
  <c r="C205" i="11"/>
  <c r="D205" i="11"/>
  <c r="B206" i="11"/>
  <c r="C206" i="11"/>
  <c r="D206" i="11"/>
  <c r="B207" i="11"/>
  <c r="C207" i="11"/>
  <c r="D207" i="11"/>
  <c r="B208" i="11"/>
  <c r="C208" i="11"/>
  <c r="D208" i="11"/>
  <c r="B209" i="11"/>
  <c r="C209" i="11"/>
  <c r="D209" i="11"/>
  <c r="B210" i="11"/>
  <c r="C210" i="11"/>
  <c r="D210" i="11"/>
  <c r="B211" i="11"/>
  <c r="C211" i="11"/>
  <c r="D211" i="11"/>
  <c r="B212" i="11"/>
  <c r="C212" i="11"/>
  <c r="D212" i="11"/>
  <c r="B213" i="11"/>
  <c r="C213" i="11"/>
  <c r="D213" i="11"/>
  <c r="B214" i="11"/>
  <c r="C214" i="11"/>
  <c r="D214" i="11"/>
  <c r="B215" i="11"/>
  <c r="C215" i="11"/>
  <c r="D215" i="11"/>
  <c r="B216" i="11"/>
  <c r="C216" i="11"/>
  <c r="D216" i="11"/>
  <c r="B217" i="11"/>
  <c r="C217" i="11"/>
  <c r="D217" i="11"/>
  <c r="B218" i="11"/>
  <c r="C218" i="11"/>
  <c r="D218" i="11"/>
  <c r="B219" i="11"/>
  <c r="C219" i="11"/>
  <c r="D219" i="11"/>
  <c r="B220" i="11"/>
  <c r="C220" i="11"/>
  <c r="D220" i="11"/>
  <c r="C175" i="11"/>
  <c r="D175" i="11"/>
  <c r="B175" i="11"/>
  <c r="B166" i="11"/>
  <c r="C166" i="11"/>
  <c r="D166" i="11"/>
  <c r="B167" i="11"/>
  <c r="C167" i="11"/>
  <c r="D167" i="11"/>
  <c r="B168" i="11"/>
  <c r="C168" i="11"/>
  <c r="D168" i="11"/>
  <c r="B169" i="11"/>
  <c r="C169" i="11"/>
  <c r="D169" i="11"/>
  <c r="B170" i="11"/>
  <c r="C170" i="11"/>
  <c r="D170" i="11"/>
  <c r="B171" i="11"/>
  <c r="C171" i="11"/>
  <c r="D171" i="11"/>
  <c r="B172" i="11"/>
  <c r="C172" i="11"/>
  <c r="D172" i="11"/>
  <c r="B173" i="11"/>
  <c r="C173" i="11"/>
  <c r="D173" i="11"/>
  <c r="C165" i="11"/>
  <c r="D165" i="11"/>
  <c r="B165" i="11"/>
  <c r="B119" i="11"/>
  <c r="C119" i="11"/>
  <c r="D119" i="11"/>
  <c r="B120" i="11"/>
  <c r="C120" i="11"/>
  <c r="D120" i="11"/>
  <c r="B121" i="11"/>
  <c r="C121" i="11"/>
  <c r="D121" i="11"/>
  <c r="B122" i="11"/>
  <c r="C122" i="11"/>
  <c r="D122" i="11"/>
  <c r="B123" i="11"/>
  <c r="C123" i="11"/>
  <c r="D123" i="11"/>
  <c r="B124" i="11"/>
  <c r="C124" i="11"/>
  <c r="D124" i="11"/>
  <c r="B125" i="11"/>
  <c r="C125" i="11"/>
  <c r="D125" i="11"/>
  <c r="B126" i="11"/>
  <c r="C126" i="11"/>
  <c r="D126" i="11"/>
  <c r="B127" i="11"/>
  <c r="C127" i="11"/>
  <c r="D127" i="11"/>
  <c r="B128" i="11"/>
  <c r="C128" i="11"/>
  <c r="D128" i="11"/>
  <c r="B129" i="11"/>
  <c r="C129" i="11"/>
  <c r="D129" i="11"/>
  <c r="B130" i="11"/>
  <c r="C130" i="11"/>
  <c r="D130" i="11"/>
  <c r="B131" i="11"/>
  <c r="C131" i="11"/>
  <c r="D131" i="11"/>
  <c r="B132" i="11"/>
  <c r="C132" i="11"/>
  <c r="D132" i="11"/>
  <c r="B133" i="11"/>
  <c r="C133" i="11"/>
  <c r="D133" i="11"/>
  <c r="B134" i="11"/>
  <c r="C134" i="11"/>
  <c r="D134" i="11"/>
  <c r="B135" i="11"/>
  <c r="C135" i="11"/>
  <c r="D135" i="11"/>
  <c r="B136" i="11"/>
  <c r="C136" i="11"/>
  <c r="D136" i="11"/>
  <c r="B137" i="11"/>
  <c r="C137" i="11"/>
  <c r="D137" i="11"/>
  <c r="B138" i="11"/>
  <c r="C138" i="11"/>
  <c r="D138" i="11"/>
  <c r="B139" i="11"/>
  <c r="C139" i="11"/>
  <c r="D139" i="11"/>
  <c r="B140" i="11"/>
  <c r="C140" i="11"/>
  <c r="D140" i="11"/>
  <c r="B141" i="11"/>
  <c r="C141" i="11"/>
  <c r="D141" i="11"/>
  <c r="B142" i="11"/>
  <c r="C142" i="11"/>
  <c r="D142" i="11"/>
  <c r="B143" i="11"/>
  <c r="C143" i="11"/>
  <c r="D143" i="11"/>
  <c r="B144" i="11"/>
  <c r="C144" i="11"/>
  <c r="D144" i="11"/>
  <c r="B145" i="11"/>
  <c r="C145" i="11"/>
  <c r="D145" i="11"/>
  <c r="B146" i="11"/>
  <c r="C146" i="11"/>
  <c r="D146" i="11"/>
  <c r="B147" i="11"/>
  <c r="C147" i="11"/>
  <c r="D147" i="11"/>
  <c r="B148" i="11"/>
  <c r="C148" i="11"/>
  <c r="D148" i="11"/>
  <c r="B149" i="11"/>
  <c r="C149" i="11"/>
  <c r="D149" i="11"/>
  <c r="B150" i="11"/>
  <c r="C150" i="11"/>
  <c r="D150" i="11"/>
  <c r="B151" i="11"/>
  <c r="C151" i="11"/>
  <c r="D151" i="11"/>
  <c r="B152" i="11"/>
  <c r="C152" i="11"/>
  <c r="D152" i="11"/>
  <c r="B153" i="11"/>
  <c r="C153" i="11"/>
  <c r="D153" i="11"/>
  <c r="B154" i="11"/>
  <c r="C154" i="11"/>
  <c r="D154" i="11"/>
  <c r="B155" i="11"/>
  <c r="C155" i="11"/>
  <c r="D155" i="11"/>
  <c r="B156" i="11"/>
  <c r="C156" i="11"/>
  <c r="D156" i="11"/>
  <c r="B157" i="11"/>
  <c r="C157" i="11"/>
  <c r="D157" i="11"/>
  <c r="B158" i="11"/>
  <c r="C158" i="11"/>
  <c r="D158" i="11"/>
  <c r="B159" i="11"/>
  <c r="C159" i="11"/>
  <c r="D159" i="11"/>
  <c r="B160" i="11"/>
  <c r="C160" i="11"/>
  <c r="D160" i="11"/>
  <c r="B161" i="11"/>
  <c r="C161" i="11"/>
  <c r="D161" i="11"/>
  <c r="B162" i="11"/>
  <c r="C162" i="11"/>
  <c r="D162" i="11"/>
  <c r="B163" i="11"/>
  <c r="C163" i="11"/>
  <c r="D163" i="11"/>
  <c r="C118" i="11"/>
  <c r="D118" i="11"/>
  <c r="B118" i="11"/>
  <c r="B109" i="11"/>
  <c r="C109" i="11"/>
  <c r="D109" i="11"/>
  <c r="B110" i="11"/>
  <c r="C110" i="11"/>
  <c r="D110" i="11"/>
  <c r="B111" i="11"/>
  <c r="C111" i="11"/>
  <c r="D111" i="11"/>
  <c r="B112" i="11"/>
  <c r="C112" i="11"/>
  <c r="D112" i="11"/>
  <c r="B113" i="11"/>
  <c r="C113" i="11"/>
  <c r="D113" i="11"/>
  <c r="B114" i="11"/>
  <c r="C114" i="11"/>
  <c r="D114" i="11"/>
  <c r="B115" i="11"/>
  <c r="C115" i="11"/>
  <c r="D115" i="11"/>
  <c r="B116" i="11"/>
  <c r="C116" i="11"/>
  <c r="D116" i="11"/>
  <c r="C108" i="11"/>
  <c r="D108" i="11"/>
  <c r="B108" i="11"/>
  <c r="B62" i="11"/>
  <c r="C62" i="11"/>
  <c r="D62" i="11"/>
  <c r="B63" i="11"/>
  <c r="C63" i="11"/>
  <c r="D63" i="11"/>
  <c r="B64" i="11"/>
  <c r="C64" i="11"/>
  <c r="D64" i="11"/>
  <c r="B65" i="11"/>
  <c r="C65" i="11"/>
  <c r="D65" i="11"/>
  <c r="B66" i="11"/>
  <c r="C66" i="11"/>
  <c r="D66" i="11"/>
  <c r="B67" i="11"/>
  <c r="C67" i="11"/>
  <c r="D67" i="11"/>
  <c r="B68" i="11"/>
  <c r="C68" i="11"/>
  <c r="D68" i="11"/>
  <c r="B69" i="11"/>
  <c r="C69" i="11"/>
  <c r="D69" i="11"/>
  <c r="B70" i="11"/>
  <c r="C70" i="11"/>
  <c r="D70" i="11"/>
  <c r="B71" i="11"/>
  <c r="C71" i="11"/>
  <c r="D71" i="11"/>
  <c r="B72" i="11"/>
  <c r="C72" i="11"/>
  <c r="D72" i="11"/>
  <c r="B73" i="11"/>
  <c r="C73" i="11"/>
  <c r="D73" i="11"/>
  <c r="B74" i="11"/>
  <c r="C74" i="11"/>
  <c r="D74" i="11"/>
  <c r="B75" i="11"/>
  <c r="C75" i="11"/>
  <c r="D75" i="11"/>
  <c r="B76" i="11"/>
  <c r="C76" i="11"/>
  <c r="D76" i="11"/>
  <c r="B77" i="11"/>
  <c r="C77" i="11"/>
  <c r="D77" i="11"/>
  <c r="B78" i="11"/>
  <c r="C78" i="11"/>
  <c r="D78" i="11"/>
  <c r="B79" i="11"/>
  <c r="C79" i="11"/>
  <c r="D79" i="11"/>
  <c r="B80" i="11"/>
  <c r="C80" i="11"/>
  <c r="D80" i="11"/>
  <c r="B81" i="11"/>
  <c r="C81" i="11"/>
  <c r="D81" i="11"/>
  <c r="B82" i="11"/>
  <c r="C82" i="11"/>
  <c r="D82" i="11"/>
  <c r="B83" i="11"/>
  <c r="C83" i="11"/>
  <c r="D83" i="11"/>
  <c r="B84" i="11"/>
  <c r="C84" i="11"/>
  <c r="D84" i="11"/>
  <c r="B85" i="11"/>
  <c r="C85" i="11"/>
  <c r="D85" i="11"/>
  <c r="B86" i="11"/>
  <c r="C86" i="11"/>
  <c r="D86" i="11"/>
  <c r="B87" i="11"/>
  <c r="C87" i="11"/>
  <c r="D87" i="11"/>
  <c r="B88" i="11"/>
  <c r="C88" i="11"/>
  <c r="D88" i="11"/>
  <c r="B89" i="11"/>
  <c r="C89" i="11"/>
  <c r="D89" i="11"/>
  <c r="B90" i="11"/>
  <c r="C90" i="11"/>
  <c r="D90" i="11"/>
  <c r="B91" i="11"/>
  <c r="C91" i="11"/>
  <c r="D91" i="11"/>
  <c r="B92" i="11"/>
  <c r="C92" i="11"/>
  <c r="D92" i="11"/>
  <c r="B93" i="11"/>
  <c r="C93" i="11"/>
  <c r="D93" i="11"/>
  <c r="B94" i="11"/>
  <c r="C94" i="11"/>
  <c r="D94" i="11"/>
  <c r="B95" i="11"/>
  <c r="C95" i="11"/>
  <c r="D95" i="11"/>
  <c r="B96" i="11"/>
  <c r="C96" i="11"/>
  <c r="D96" i="11"/>
  <c r="B97" i="11"/>
  <c r="C97" i="11"/>
  <c r="D97" i="11"/>
  <c r="B98" i="11"/>
  <c r="C98" i="11"/>
  <c r="D98" i="11"/>
  <c r="B99" i="11"/>
  <c r="C99" i="11"/>
  <c r="D99" i="11"/>
  <c r="B100" i="11"/>
  <c r="C100" i="11"/>
  <c r="D100" i="11"/>
  <c r="B101" i="11"/>
  <c r="C101" i="11"/>
  <c r="D101" i="11"/>
  <c r="B102" i="11"/>
  <c r="C102" i="11"/>
  <c r="D102" i="11"/>
  <c r="B103" i="11"/>
  <c r="C103" i="11"/>
  <c r="D103" i="11"/>
  <c r="B104" i="11"/>
  <c r="C104" i="11"/>
  <c r="D104" i="11"/>
  <c r="B105" i="11"/>
  <c r="C105" i="11"/>
  <c r="D105" i="11"/>
  <c r="B106" i="11"/>
  <c r="C106" i="11"/>
  <c r="D106" i="11"/>
  <c r="C61" i="11"/>
  <c r="D61" i="11"/>
  <c r="B61" i="11"/>
  <c r="E52" i="11"/>
  <c r="F52" i="11"/>
  <c r="G52" i="11"/>
  <c r="E53" i="11"/>
  <c r="F53" i="11"/>
  <c r="G53" i="11"/>
  <c r="E54" i="11"/>
  <c r="F54" i="11"/>
  <c r="G54" i="11"/>
  <c r="E55" i="11"/>
  <c r="F55" i="11"/>
  <c r="G55" i="11"/>
  <c r="E56" i="11"/>
  <c r="F56" i="11"/>
  <c r="G56" i="11"/>
  <c r="E57" i="11"/>
  <c r="F57" i="11"/>
  <c r="G57" i="11"/>
  <c r="E58" i="11"/>
  <c r="F58" i="11"/>
  <c r="G58" i="11"/>
  <c r="E59" i="11"/>
  <c r="F59" i="11"/>
  <c r="G59" i="11"/>
  <c r="F51" i="11"/>
  <c r="G51" i="11"/>
  <c r="E51" i="11"/>
  <c r="B52" i="11"/>
  <c r="C52" i="11"/>
  <c r="D52" i="11"/>
  <c r="B53" i="11"/>
  <c r="C53" i="11"/>
  <c r="D53" i="11"/>
  <c r="B54" i="11"/>
  <c r="C54" i="11"/>
  <c r="D54" i="11"/>
  <c r="B55" i="11"/>
  <c r="C55" i="11"/>
  <c r="D55" i="11"/>
  <c r="B56" i="11"/>
  <c r="C56" i="11"/>
  <c r="D56" i="11"/>
  <c r="B57" i="11"/>
  <c r="C57" i="11"/>
  <c r="D57" i="11"/>
  <c r="B58" i="11"/>
  <c r="C58" i="11"/>
  <c r="D58" i="11"/>
  <c r="B59" i="11"/>
  <c r="C59" i="11"/>
  <c r="D59" i="11"/>
  <c r="C51" i="11"/>
  <c r="D51" i="11"/>
  <c r="B51" i="11"/>
  <c r="E10" i="11"/>
  <c r="F10" i="11"/>
  <c r="G10" i="11"/>
  <c r="E11" i="11"/>
  <c r="F11" i="11"/>
  <c r="G11" i="11"/>
  <c r="E12" i="11"/>
  <c r="F12" i="11"/>
  <c r="G12" i="11"/>
  <c r="E13" i="11"/>
  <c r="F13" i="11"/>
  <c r="G13" i="11"/>
  <c r="E14" i="11"/>
  <c r="F14" i="11"/>
  <c r="G14" i="11"/>
  <c r="E15" i="11"/>
  <c r="F15" i="11"/>
  <c r="G15" i="11"/>
  <c r="E16" i="11"/>
  <c r="F16" i="11"/>
  <c r="G16" i="11"/>
  <c r="E17" i="11"/>
  <c r="F17" i="11"/>
  <c r="G17" i="11"/>
  <c r="E18" i="11"/>
  <c r="F18" i="11"/>
  <c r="G18" i="11"/>
  <c r="E19" i="11"/>
  <c r="F19" i="11"/>
  <c r="G19" i="11"/>
  <c r="E20" i="11"/>
  <c r="F20" i="11"/>
  <c r="G20" i="11"/>
  <c r="E21" i="11"/>
  <c r="F21" i="11"/>
  <c r="G21" i="11"/>
  <c r="E22" i="11"/>
  <c r="F22" i="11"/>
  <c r="G22" i="11"/>
  <c r="E23" i="11"/>
  <c r="F23" i="11"/>
  <c r="G23" i="11"/>
  <c r="E24" i="11"/>
  <c r="F24" i="11"/>
  <c r="G24" i="11"/>
  <c r="E25" i="11"/>
  <c r="F25" i="11"/>
  <c r="G25" i="11"/>
  <c r="E26" i="11"/>
  <c r="F26" i="11"/>
  <c r="G26" i="11"/>
  <c r="E27" i="11"/>
  <c r="F27" i="11"/>
  <c r="G27" i="11"/>
  <c r="E28" i="11"/>
  <c r="F28" i="11"/>
  <c r="G28" i="11"/>
  <c r="E29" i="11"/>
  <c r="F29" i="11"/>
  <c r="G29" i="11"/>
  <c r="E30" i="11"/>
  <c r="F30" i="11"/>
  <c r="G30" i="11"/>
  <c r="E31" i="11"/>
  <c r="F31" i="11"/>
  <c r="G31" i="11"/>
  <c r="E32" i="11"/>
  <c r="F32" i="11"/>
  <c r="G32" i="11"/>
  <c r="E33" i="11"/>
  <c r="F33" i="11"/>
  <c r="G33" i="11"/>
  <c r="E34" i="11"/>
  <c r="F34" i="11"/>
  <c r="G34" i="11"/>
  <c r="E35" i="11"/>
  <c r="F35" i="11"/>
  <c r="G35" i="11"/>
  <c r="E36" i="11"/>
  <c r="F36" i="11"/>
  <c r="G36" i="11"/>
  <c r="E37" i="11"/>
  <c r="F37" i="11"/>
  <c r="G37" i="11"/>
  <c r="E38" i="11"/>
  <c r="F38" i="11"/>
  <c r="G38" i="11"/>
  <c r="E39" i="11"/>
  <c r="F39" i="11"/>
  <c r="G39" i="11"/>
  <c r="E40" i="11"/>
  <c r="F40" i="11"/>
  <c r="G40" i="11"/>
  <c r="E41" i="11"/>
  <c r="F41" i="11"/>
  <c r="G41" i="11"/>
  <c r="E42" i="11"/>
  <c r="F42" i="11"/>
  <c r="G42" i="11"/>
  <c r="E43" i="11"/>
  <c r="F43" i="11"/>
  <c r="G43" i="11"/>
  <c r="E44" i="11"/>
  <c r="F44" i="11"/>
  <c r="G44" i="11"/>
  <c r="E45" i="11"/>
  <c r="F45" i="11"/>
  <c r="G45" i="11"/>
  <c r="E46" i="11"/>
  <c r="F46" i="11"/>
  <c r="G46" i="11"/>
  <c r="E47" i="11"/>
  <c r="F47" i="11"/>
  <c r="G47" i="11"/>
  <c r="E48" i="11"/>
  <c r="F48" i="11"/>
  <c r="G48" i="11"/>
  <c r="E49" i="11"/>
  <c r="F49" i="11"/>
  <c r="G49" i="11"/>
  <c r="F9" i="11"/>
  <c r="G9" i="11"/>
  <c r="E9" i="11"/>
  <c r="B18" i="11"/>
  <c r="C18" i="11"/>
  <c r="D18" i="11"/>
  <c r="B19" i="11"/>
  <c r="C19" i="11"/>
  <c r="D19" i="11"/>
  <c r="B20" i="11"/>
  <c r="C20" i="11"/>
  <c r="D20" i="11"/>
  <c r="B21" i="11"/>
  <c r="C21" i="11"/>
  <c r="D21" i="11"/>
  <c r="B22" i="11"/>
  <c r="C22" i="11"/>
  <c r="D22" i="11"/>
  <c r="B23" i="11"/>
  <c r="C23" i="11"/>
  <c r="D23" i="11"/>
  <c r="B24" i="11"/>
  <c r="C24" i="11"/>
  <c r="D24" i="11"/>
  <c r="B25" i="11"/>
  <c r="C25" i="11"/>
  <c r="D25" i="11"/>
  <c r="B26" i="11"/>
  <c r="C26" i="11"/>
  <c r="D26" i="11"/>
  <c r="B27" i="11"/>
  <c r="C27" i="11"/>
  <c r="D27" i="11"/>
  <c r="B28" i="11"/>
  <c r="C28" i="11"/>
  <c r="D28" i="11"/>
  <c r="B29" i="11"/>
  <c r="C29" i="11"/>
  <c r="D29" i="11"/>
  <c r="B30" i="11"/>
  <c r="C30" i="11"/>
  <c r="D30" i="11"/>
  <c r="B31" i="11"/>
  <c r="C31" i="11"/>
  <c r="D31" i="11"/>
  <c r="B32" i="11"/>
  <c r="C32" i="11"/>
  <c r="D32" i="11"/>
  <c r="B33" i="11"/>
  <c r="C33" i="11"/>
  <c r="D33" i="11"/>
  <c r="B34" i="11"/>
  <c r="C34" i="11"/>
  <c r="D34" i="11"/>
  <c r="B35" i="11"/>
  <c r="C35" i="11"/>
  <c r="D35" i="11"/>
  <c r="B36" i="11"/>
  <c r="C36" i="11"/>
  <c r="D36" i="11"/>
  <c r="B37" i="11"/>
  <c r="C37" i="11"/>
  <c r="D37" i="11"/>
  <c r="B38" i="11"/>
  <c r="C38" i="11"/>
  <c r="D38" i="11"/>
  <c r="B39" i="11"/>
  <c r="C39" i="11"/>
  <c r="D39" i="11"/>
  <c r="B40" i="11"/>
  <c r="C40" i="11"/>
  <c r="D40" i="11"/>
  <c r="B41" i="11"/>
  <c r="C41" i="11"/>
  <c r="D41" i="11"/>
  <c r="B42" i="11"/>
  <c r="C42" i="11"/>
  <c r="D42" i="11"/>
  <c r="B43" i="11"/>
  <c r="C43" i="11"/>
  <c r="D43" i="11"/>
  <c r="B44" i="11"/>
  <c r="C44" i="11"/>
  <c r="D44" i="11"/>
  <c r="B45" i="11"/>
  <c r="C45" i="11"/>
  <c r="D45" i="11"/>
  <c r="B46" i="11"/>
  <c r="C46" i="11"/>
  <c r="D46" i="11"/>
  <c r="B47" i="11"/>
  <c r="C47" i="11"/>
  <c r="D47" i="11"/>
  <c r="B48" i="11"/>
  <c r="C48" i="11"/>
  <c r="D48" i="11"/>
  <c r="B49" i="11"/>
  <c r="C49" i="11"/>
  <c r="D49" i="11"/>
  <c r="B4" i="11"/>
  <c r="C4" i="11"/>
  <c r="D4" i="11"/>
  <c r="B5" i="11"/>
  <c r="C5" i="11"/>
  <c r="D5" i="11"/>
  <c r="B6" i="11"/>
  <c r="C6" i="11"/>
  <c r="D6" i="11"/>
  <c r="B7" i="11"/>
  <c r="C7" i="11"/>
  <c r="D7" i="11"/>
  <c r="B8" i="11"/>
  <c r="C8" i="11"/>
  <c r="D8" i="11"/>
  <c r="B9" i="11"/>
  <c r="C9" i="11"/>
  <c r="D9" i="11"/>
  <c r="B10" i="11"/>
  <c r="C10" i="11"/>
  <c r="D10" i="11"/>
  <c r="B11" i="11"/>
  <c r="C11" i="11"/>
  <c r="D11" i="11"/>
  <c r="B12" i="11"/>
  <c r="C12" i="11"/>
  <c r="D12" i="11"/>
  <c r="B13" i="11"/>
  <c r="C13" i="11"/>
  <c r="D13" i="11"/>
  <c r="B14" i="11"/>
  <c r="C14" i="11"/>
  <c r="D14" i="11"/>
  <c r="B15" i="11"/>
  <c r="C15" i="11"/>
  <c r="D15" i="11"/>
  <c r="B16" i="11"/>
  <c r="C16" i="11"/>
  <c r="D16" i="11"/>
  <c r="B17" i="11"/>
  <c r="D17" i="11"/>
  <c r="C17" i="11"/>
  <c r="E5" i="11"/>
  <c r="F5" i="11"/>
  <c r="G5" i="11"/>
  <c r="E6" i="11"/>
  <c r="F6" i="11"/>
  <c r="G6" i="11"/>
  <c r="E7" i="11"/>
  <c r="F7" i="11"/>
  <c r="G7" i="11"/>
  <c r="E8" i="11"/>
  <c r="F8" i="11"/>
  <c r="G8" i="11"/>
  <c r="E4" i="11"/>
  <c r="F4" i="11"/>
  <c r="G4" i="11"/>
  <c r="H14" i="41"/>
  <c r="I14" i="41"/>
  <c r="H15" i="41"/>
  <c r="I15" i="41"/>
  <c r="H16" i="41"/>
  <c r="I16" i="41"/>
  <c r="H17" i="41"/>
  <c r="I17" i="41"/>
  <c r="H18" i="41"/>
  <c r="I18" i="41"/>
  <c r="H19" i="41"/>
  <c r="I19" i="41"/>
  <c r="H20" i="41"/>
  <c r="I20" i="41"/>
  <c r="H21" i="41"/>
  <c r="I21" i="41"/>
  <c r="H22" i="41"/>
  <c r="I22" i="41"/>
  <c r="H23" i="41"/>
  <c r="I23" i="41"/>
  <c r="H24" i="41"/>
  <c r="I24" i="41"/>
  <c r="H25" i="41"/>
  <c r="I25" i="41"/>
  <c r="H26" i="41"/>
  <c r="I26" i="41"/>
  <c r="H27" i="41"/>
  <c r="I27" i="41"/>
  <c r="H28" i="41"/>
  <c r="I28" i="41"/>
  <c r="H29" i="41"/>
  <c r="I29" i="41"/>
  <c r="H30" i="41"/>
  <c r="I30" i="41"/>
  <c r="H31" i="41"/>
  <c r="I31" i="41"/>
  <c r="H32" i="41"/>
  <c r="I32" i="41"/>
  <c r="H33" i="41"/>
  <c r="I33" i="41"/>
  <c r="H34" i="41"/>
  <c r="I34" i="41"/>
  <c r="H35" i="41"/>
  <c r="I35" i="41"/>
  <c r="H36" i="41"/>
  <c r="I36" i="41"/>
  <c r="H37" i="41"/>
  <c r="I37" i="41"/>
  <c r="H38" i="41"/>
  <c r="I38" i="41"/>
  <c r="H39" i="41"/>
  <c r="I39" i="41"/>
  <c r="H40" i="41"/>
  <c r="I40" i="41"/>
  <c r="H41" i="41"/>
  <c r="I41" i="41"/>
  <c r="H42" i="41"/>
  <c r="I42" i="41"/>
  <c r="H43" i="41"/>
  <c r="I43" i="41"/>
  <c r="H44" i="41"/>
  <c r="I44" i="41"/>
  <c r="H45" i="41"/>
  <c r="I45" i="41"/>
  <c r="H46" i="41"/>
  <c r="I46" i="41"/>
  <c r="H47" i="41"/>
  <c r="I47" i="41"/>
  <c r="H48" i="41"/>
  <c r="I48" i="41"/>
  <c r="H49" i="41"/>
  <c r="I49" i="41"/>
  <c r="H50" i="41"/>
  <c r="I50" i="41"/>
  <c r="H51" i="41"/>
  <c r="I51" i="41"/>
  <c r="H52" i="41"/>
  <c r="I52" i="41"/>
  <c r="H53" i="41"/>
  <c r="I53" i="41"/>
  <c r="H54" i="41"/>
  <c r="I54" i="41"/>
  <c r="H55" i="41"/>
  <c r="I55" i="41"/>
  <c r="H56" i="41"/>
  <c r="I56" i="41"/>
  <c r="H57" i="41"/>
  <c r="I57" i="41"/>
  <c r="H58" i="41"/>
  <c r="I58" i="41"/>
  <c r="I13" i="41"/>
  <c r="H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J30" i="41"/>
  <c r="J31" i="41"/>
  <c r="J32" i="41"/>
  <c r="J33" i="41"/>
  <c r="J34" i="41"/>
  <c r="J35" i="41"/>
  <c r="J36" i="41"/>
  <c r="J37" i="41"/>
  <c r="J38" i="41"/>
  <c r="J39" i="41"/>
  <c r="J40" i="41"/>
  <c r="J41" i="41"/>
  <c r="J42" i="41"/>
  <c r="J43" i="41"/>
  <c r="J44" i="41"/>
  <c r="J45" i="41"/>
  <c r="J46" i="41"/>
  <c r="J47" i="41"/>
  <c r="J48" i="41"/>
  <c r="J49" i="41"/>
  <c r="J50" i="41"/>
  <c r="J51" i="41"/>
  <c r="J52" i="41"/>
  <c r="J53" i="41"/>
  <c r="J54" i="41"/>
  <c r="J55" i="41"/>
  <c r="J56" i="41"/>
  <c r="J57" i="41"/>
  <c r="J58" i="41"/>
  <c r="J13" i="41"/>
  <c r="B14" i="41"/>
  <c r="C14" i="41"/>
  <c r="D14" i="41"/>
  <c r="E14" i="41"/>
  <c r="F14" i="41"/>
  <c r="G14" i="41"/>
  <c r="B15" i="41"/>
  <c r="C15" i="41"/>
  <c r="D15" i="41"/>
  <c r="E15" i="41"/>
  <c r="F15" i="41"/>
  <c r="G15" i="41"/>
  <c r="B16" i="41"/>
  <c r="C16" i="41"/>
  <c r="D16" i="41"/>
  <c r="E16" i="41"/>
  <c r="F16" i="41"/>
  <c r="G16" i="41"/>
  <c r="B17" i="41"/>
  <c r="C17" i="41"/>
  <c r="D17" i="41"/>
  <c r="E17" i="41"/>
  <c r="F17" i="41"/>
  <c r="G17" i="41"/>
  <c r="B18" i="41"/>
  <c r="C18" i="41"/>
  <c r="D18" i="41"/>
  <c r="E18" i="41"/>
  <c r="F18" i="41"/>
  <c r="G18" i="41"/>
  <c r="B19" i="41"/>
  <c r="C19" i="41"/>
  <c r="D19" i="41"/>
  <c r="E19" i="41"/>
  <c r="F19" i="41"/>
  <c r="G19" i="41"/>
  <c r="B20" i="41"/>
  <c r="C20" i="41"/>
  <c r="D20" i="41"/>
  <c r="E20" i="41"/>
  <c r="F20" i="41"/>
  <c r="G20" i="41"/>
  <c r="B21" i="41"/>
  <c r="C21" i="41"/>
  <c r="D21" i="41"/>
  <c r="E21" i="41"/>
  <c r="F21" i="41"/>
  <c r="G21" i="41"/>
  <c r="B22" i="41"/>
  <c r="C22" i="41"/>
  <c r="D22" i="41"/>
  <c r="E22" i="41"/>
  <c r="F22" i="41"/>
  <c r="G22" i="41"/>
  <c r="B23" i="41"/>
  <c r="C23" i="41"/>
  <c r="D23" i="41"/>
  <c r="E23" i="41"/>
  <c r="F23" i="41"/>
  <c r="G23" i="41"/>
  <c r="B24" i="41"/>
  <c r="C24" i="41"/>
  <c r="D24" i="41"/>
  <c r="E24" i="41"/>
  <c r="F24" i="41"/>
  <c r="G24" i="41"/>
  <c r="B25" i="41"/>
  <c r="C25" i="41"/>
  <c r="D25" i="41"/>
  <c r="E25" i="41"/>
  <c r="F25" i="41"/>
  <c r="G25" i="41"/>
  <c r="B26" i="41"/>
  <c r="C26" i="41"/>
  <c r="D26" i="41"/>
  <c r="E26" i="41"/>
  <c r="F26" i="41"/>
  <c r="G26" i="41"/>
  <c r="B27" i="41"/>
  <c r="C27" i="41"/>
  <c r="D27" i="41"/>
  <c r="E27" i="41"/>
  <c r="F27" i="41"/>
  <c r="G27" i="41"/>
  <c r="B28" i="41"/>
  <c r="C28" i="41"/>
  <c r="D28" i="41"/>
  <c r="E28" i="41"/>
  <c r="F28" i="41"/>
  <c r="G28" i="41"/>
  <c r="B29" i="41"/>
  <c r="C29" i="41"/>
  <c r="D29" i="41"/>
  <c r="E29" i="41"/>
  <c r="F29" i="41"/>
  <c r="G29" i="41"/>
  <c r="B30" i="41"/>
  <c r="C30" i="41"/>
  <c r="D30" i="41"/>
  <c r="E30" i="41"/>
  <c r="F30" i="41"/>
  <c r="G30" i="41"/>
  <c r="B31" i="41"/>
  <c r="C31" i="41"/>
  <c r="D31" i="41"/>
  <c r="E31" i="41"/>
  <c r="F31" i="41"/>
  <c r="G31" i="41"/>
  <c r="B32" i="41"/>
  <c r="C32" i="41"/>
  <c r="D32" i="41"/>
  <c r="E32" i="41"/>
  <c r="F32" i="41"/>
  <c r="G32" i="41"/>
  <c r="B33" i="41"/>
  <c r="C33" i="41"/>
  <c r="D33" i="41"/>
  <c r="E33" i="41"/>
  <c r="F33" i="41"/>
  <c r="G33" i="41"/>
  <c r="B34" i="41"/>
  <c r="C34" i="41"/>
  <c r="D34" i="41"/>
  <c r="E34" i="41"/>
  <c r="F34" i="41"/>
  <c r="G34" i="41"/>
  <c r="B35" i="41"/>
  <c r="C35" i="41"/>
  <c r="D35" i="41"/>
  <c r="E35" i="41"/>
  <c r="F35" i="41"/>
  <c r="G35" i="41"/>
  <c r="B36" i="41"/>
  <c r="C36" i="41"/>
  <c r="D36" i="41"/>
  <c r="E36" i="41"/>
  <c r="F36" i="41"/>
  <c r="G36" i="41"/>
  <c r="B37" i="41"/>
  <c r="C37" i="41"/>
  <c r="D37" i="41"/>
  <c r="E37" i="41"/>
  <c r="F37" i="41"/>
  <c r="G37" i="41"/>
  <c r="B38" i="41"/>
  <c r="C38" i="41"/>
  <c r="D38" i="41"/>
  <c r="E38" i="41"/>
  <c r="F38" i="41"/>
  <c r="G38" i="41"/>
  <c r="B39" i="41"/>
  <c r="C39" i="41"/>
  <c r="D39" i="41"/>
  <c r="E39" i="41"/>
  <c r="F39" i="41"/>
  <c r="G39" i="41"/>
  <c r="B40" i="41"/>
  <c r="C40" i="41"/>
  <c r="D40" i="41"/>
  <c r="E40" i="41"/>
  <c r="F40" i="41"/>
  <c r="G40" i="41"/>
  <c r="B41" i="41"/>
  <c r="C41" i="41"/>
  <c r="D41" i="41"/>
  <c r="E41" i="41"/>
  <c r="F41" i="41"/>
  <c r="G41" i="41"/>
  <c r="B42" i="41"/>
  <c r="C42" i="41"/>
  <c r="D42" i="41"/>
  <c r="E42" i="41"/>
  <c r="F42" i="41"/>
  <c r="G42" i="41"/>
  <c r="B43" i="41"/>
  <c r="C43" i="41"/>
  <c r="D43" i="41"/>
  <c r="E43" i="41"/>
  <c r="F43" i="41"/>
  <c r="G43" i="41"/>
  <c r="B44" i="41"/>
  <c r="C44" i="41"/>
  <c r="D44" i="41"/>
  <c r="E44" i="41"/>
  <c r="F44" i="41"/>
  <c r="G44" i="41"/>
  <c r="B45" i="41"/>
  <c r="C45" i="41"/>
  <c r="D45" i="41"/>
  <c r="E45" i="41"/>
  <c r="F45" i="41"/>
  <c r="G45" i="41"/>
  <c r="B46" i="41"/>
  <c r="C46" i="41"/>
  <c r="D46" i="41"/>
  <c r="E46" i="41"/>
  <c r="F46" i="41"/>
  <c r="G46" i="41"/>
  <c r="B47" i="41"/>
  <c r="C47" i="41"/>
  <c r="D47" i="41"/>
  <c r="E47" i="41"/>
  <c r="F47" i="41"/>
  <c r="G47" i="41"/>
  <c r="B48" i="41"/>
  <c r="C48" i="41"/>
  <c r="D48" i="41"/>
  <c r="E48" i="41"/>
  <c r="F48" i="41"/>
  <c r="G48" i="41"/>
  <c r="B49" i="41"/>
  <c r="C49" i="41"/>
  <c r="D49" i="41"/>
  <c r="E49" i="41"/>
  <c r="F49" i="41"/>
  <c r="G49" i="41"/>
  <c r="B50" i="41"/>
  <c r="C50" i="41"/>
  <c r="D50" i="41"/>
  <c r="E50" i="41"/>
  <c r="F50" i="41"/>
  <c r="G50" i="41"/>
  <c r="B51" i="41"/>
  <c r="C51" i="41"/>
  <c r="D51" i="41"/>
  <c r="E51" i="41"/>
  <c r="F51" i="41"/>
  <c r="G51" i="41"/>
  <c r="B52" i="41"/>
  <c r="C52" i="41"/>
  <c r="D52" i="41"/>
  <c r="E52" i="41"/>
  <c r="F52" i="41"/>
  <c r="G52" i="41"/>
  <c r="B53" i="41"/>
  <c r="C53" i="41"/>
  <c r="D53" i="41"/>
  <c r="E53" i="41"/>
  <c r="F53" i="41"/>
  <c r="G53" i="41"/>
  <c r="B54" i="41"/>
  <c r="C54" i="41"/>
  <c r="D54" i="41"/>
  <c r="E54" i="41"/>
  <c r="F54" i="41"/>
  <c r="G54" i="41"/>
  <c r="B55" i="41"/>
  <c r="C55" i="41"/>
  <c r="D55" i="41"/>
  <c r="E55" i="41"/>
  <c r="F55" i="41"/>
  <c r="G55" i="41"/>
  <c r="B56" i="41"/>
  <c r="C56" i="41"/>
  <c r="D56" i="41"/>
  <c r="E56" i="41"/>
  <c r="F56" i="41"/>
  <c r="G56" i="41"/>
  <c r="B57" i="41"/>
  <c r="C57" i="41"/>
  <c r="D57" i="41"/>
  <c r="E57" i="41"/>
  <c r="F57" i="41"/>
  <c r="G57" i="41"/>
  <c r="B58" i="41"/>
  <c r="C58" i="41"/>
  <c r="D58" i="41"/>
  <c r="E58" i="41"/>
  <c r="F58" i="41"/>
  <c r="G58" i="41"/>
  <c r="C13" i="41"/>
  <c r="D13" i="41"/>
  <c r="E13" i="41"/>
  <c r="F13" i="41"/>
  <c r="G13" i="41"/>
  <c r="B13" i="41"/>
  <c r="E9" i="12" l="1"/>
  <c r="E10" i="12"/>
  <c r="E11" i="12"/>
  <c r="E12" i="12"/>
  <c r="E13" i="12"/>
  <c r="E3" i="12"/>
  <c r="E4" i="12"/>
  <c r="E5" i="12"/>
  <c r="E6" i="12"/>
  <c r="E7" i="12"/>
  <c r="E8" i="12"/>
  <c r="D4" i="12"/>
  <c r="F4" i="12"/>
  <c r="G4" i="12"/>
  <c r="H4" i="12"/>
  <c r="D5" i="12"/>
  <c r="F5" i="12"/>
  <c r="G5" i="12"/>
  <c r="H5" i="12"/>
  <c r="D6" i="12"/>
  <c r="F6" i="12"/>
  <c r="G6" i="12"/>
  <c r="H6" i="12"/>
  <c r="D7" i="12"/>
  <c r="F7" i="12"/>
  <c r="G7" i="12"/>
  <c r="H7" i="12"/>
  <c r="D8" i="12"/>
  <c r="F8" i="12"/>
  <c r="G8" i="12"/>
  <c r="H8" i="12"/>
  <c r="D9" i="12"/>
  <c r="F9" i="12"/>
  <c r="G9" i="12"/>
  <c r="H9" i="12"/>
  <c r="D10" i="12"/>
  <c r="F10" i="12"/>
  <c r="G10" i="12"/>
  <c r="H10" i="12"/>
  <c r="D11" i="12"/>
  <c r="F11" i="12"/>
  <c r="G11" i="12"/>
  <c r="H11" i="12"/>
  <c r="D12" i="12"/>
  <c r="F12" i="12"/>
  <c r="G12" i="12"/>
  <c r="H12" i="12"/>
  <c r="D13" i="12"/>
  <c r="F13" i="12"/>
  <c r="G13" i="12"/>
  <c r="H13" i="12"/>
  <c r="F3" i="12"/>
  <c r="G3" i="12"/>
  <c r="H3" i="12"/>
  <c r="B4" i="12"/>
  <c r="B5" i="12"/>
  <c r="B6" i="12"/>
  <c r="B7" i="12"/>
  <c r="B8" i="12"/>
  <c r="B9" i="12"/>
  <c r="B10" i="12"/>
  <c r="B11" i="12"/>
  <c r="B3" i="12"/>
  <c r="D3" i="12"/>
  <c r="C4" i="12"/>
  <c r="C5" i="12"/>
  <c r="C6" i="12"/>
  <c r="C7" i="12"/>
  <c r="C8" i="12"/>
  <c r="C9" i="12"/>
  <c r="C10" i="12"/>
  <c r="C11" i="12"/>
  <c r="C12" i="12"/>
  <c r="C13" i="12"/>
  <c r="C3" i="12"/>
  <c r="M12" i="12"/>
  <c r="N12" i="12"/>
  <c r="O12" i="12"/>
  <c r="P12" i="12"/>
  <c r="M13" i="12"/>
  <c r="N13" i="12"/>
  <c r="O13" i="12"/>
  <c r="P13" i="12"/>
  <c r="L4" i="12"/>
  <c r="M4" i="12"/>
  <c r="N4" i="12"/>
  <c r="O4" i="12"/>
  <c r="P4" i="12"/>
  <c r="L5" i="12"/>
  <c r="M5" i="12"/>
  <c r="N5" i="12"/>
  <c r="O5" i="12"/>
  <c r="P5" i="12"/>
  <c r="L6" i="12"/>
  <c r="M6" i="12"/>
  <c r="N6" i="12"/>
  <c r="O6" i="12"/>
  <c r="P6" i="12"/>
  <c r="L7" i="12"/>
  <c r="M7" i="12"/>
  <c r="N7" i="12"/>
  <c r="O7" i="12"/>
  <c r="P7" i="12"/>
  <c r="L8" i="12"/>
  <c r="M8" i="12"/>
  <c r="N8" i="12"/>
  <c r="O8" i="12"/>
  <c r="P8" i="12"/>
  <c r="L9" i="12"/>
  <c r="M9" i="12"/>
  <c r="N9" i="12"/>
  <c r="O9" i="12"/>
  <c r="P9" i="12"/>
  <c r="L10" i="12"/>
  <c r="M10" i="12"/>
  <c r="N10" i="12"/>
  <c r="O10" i="12"/>
  <c r="P10" i="12"/>
  <c r="L11" i="12"/>
  <c r="M11" i="12"/>
  <c r="N11" i="12"/>
  <c r="O11" i="12"/>
  <c r="P11" i="12"/>
  <c r="M3" i="12"/>
  <c r="N3" i="12"/>
  <c r="O3" i="12"/>
  <c r="P3" i="12"/>
  <c r="L3" i="12"/>
  <c r="I4" i="12"/>
  <c r="J4" i="12"/>
  <c r="K4" i="12"/>
  <c r="I5" i="12"/>
  <c r="J5" i="12"/>
  <c r="K5" i="12"/>
  <c r="I6" i="12"/>
  <c r="J6" i="12"/>
  <c r="K6" i="12"/>
  <c r="I7" i="12"/>
  <c r="J7" i="12"/>
  <c r="K7" i="12"/>
  <c r="I8" i="12"/>
  <c r="J8" i="12"/>
  <c r="K8" i="12"/>
  <c r="I9" i="12"/>
  <c r="J9" i="12"/>
  <c r="K9" i="12"/>
  <c r="I10" i="12"/>
  <c r="J10" i="12"/>
  <c r="K10" i="12"/>
  <c r="I11" i="12"/>
  <c r="J11" i="12"/>
  <c r="K11" i="12"/>
  <c r="I12" i="12"/>
  <c r="J12" i="12"/>
  <c r="K12" i="12"/>
  <c r="I13" i="12"/>
  <c r="J13" i="12"/>
  <c r="K13" i="12"/>
  <c r="J3" i="12"/>
  <c r="K3" i="12"/>
  <c r="I3" i="12"/>
  <c r="B3" i="42"/>
  <c r="C3" i="42"/>
  <c r="P54" i="42"/>
  <c r="O54" i="42"/>
  <c r="N54" i="42"/>
  <c r="K54" i="42"/>
  <c r="J54" i="42"/>
  <c r="I54" i="42"/>
  <c r="H54" i="42"/>
  <c r="G54" i="42"/>
  <c r="F54" i="42"/>
  <c r="E54" i="42"/>
  <c r="P53" i="42"/>
  <c r="O53" i="42"/>
  <c r="N53" i="42"/>
  <c r="K53" i="42"/>
  <c r="J53" i="42"/>
  <c r="I53" i="42"/>
  <c r="H53" i="42"/>
  <c r="G53" i="42"/>
  <c r="F53" i="42"/>
  <c r="E53" i="42"/>
  <c r="P52" i="42"/>
  <c r="O52" i="42"/>
  <c r="N52" i="42"/>
  <c r="K52" i="42"/>
  <c r="J52" i="42"/>
  <c r="I52" i="42"/>
  <c r="H52" i="42"/>
  <c r="G52" i="42"/>
  <c r="F52" i="42"/>
  <c r="E52" i="42"/>
  <c r="P51" i="42"/>
  <c r="O51" i="42"/>
  <c r="N51" i="42"/>
  <c r="K51" i="42"/>
  <c r="J51" i="42"/>
  <c r="I51" i="42"/>
  <c r="H51" i="42"/>
  <c r="G51" i="42"/>
  <c r="F51" i="42"/>
  <c r="E51" i="42"/>
  <c r="P50" i="42"/>
  <c r="O50" i="42"/>
  <c r="N50" i="42"/>
  <c r="K50" i="42"/>
  <c r="J50" i="42"/>
  <c r="I50" i="42"/>
  <c r="H50" i="42"/>
  <c r="G50" i="42"/>
  <c r="F50" i="42"/>
  <c r="E50" i="42"/>
  <c r="P49" i="42"/>
  <c r="O49" i="42"/>
  <c r="N49" i="42"/>
  <c r="K49" i="42"/>
  <c r="J49" i="42"/>
  <c r="I49" i="42"/>
  <c r="H49" i="42"/>
  <c r="G49" i="42"/>
  <c r="F49" i="42"/>
  <c r="E49" i="42"/>
  <c r="P48" i="42"/>
  <c r="O48" i="42"/>
  <c r="N48" i="42"/>
  <c r="K48" i="42"/>
  <c r="J48" i="42"/>
  <c r="I48" i="42"/>
  <c r="H48" i="42"/>
  <c r="G48" i="42"/>
  <c r="F48" i="42"/>
  <c r="E48" i="42"/>
  <c r="P47" i="42"/>
  <c r="O47" i="42"/>
  <c r="N47" i="42"/>
  <c r="M47" i="42"/>
  <c r="K47" i="42"/>
  <c r="J47" i="42"/>
  <c r="I47" i="42"/>
  <c r="H47" i="42"/>
  <c r="G47" i="42"/>
  <c r="F47" i="42"/>
  <c r="E47" i="42"/>
  <c r="D47" i="42"/>
  <c r="P46" i="42"/>
  <c r="O46" i="42"/>
  <c r="N46" i="42"/>
  <c r="M46" i="42"/>
  <c r="K46" i="42"/>
  <c r="J46" i="42"/>
  <c r="I46" i="42"/>
  <c r="H46" i="42"/>
  <c r="G46" i="42"/>
  <c r="F46" i="42"/>
  <c r="E46" i="42"/>
  <c r="D46" i="42"/>
  <c r="P45" i="42"/>
  <c r="O45" i="42"/>
  <c r="N45" i="42"/>
  <c r="M45" i="42"/>
  <c r="K45" i="42"/>
  <c r="J45" i="42"/>
  <c r="I45" i="42"/>
  <c r="H45" i="42"/>
  <c r="G45" i="42"/>
  <c r="F45" i="42"/>
  <c r="E45" i="42"/>
  <c r="D45" i="42"/>
  <c r="P44" i="42"/>
  <c r="O44" i="42"/>
  <c r="N44" i="42"/>
  <c r="M44" i="42"/>
  <c r="K44" i="42"/>
  <c r="J44" i="42"/>
  <c r="I44" i="42"/>
  <c r="H44" i="42"/>
  <c r="G44" i="42"/>
  <c r="F44" i="42"/>
  <c r="E44" i="42"/>
  <c r="D44" i="42"/>
  <c r="P43" i="42"/>
  <c r="O43" i="42"/>
  <c r="N43" i="42"/>
  <c r="M43" i="42"/>
  <c r="K43" i="42"/>
  <c r="J43" i="42"/>
  <c r="I43" i="42"/>
  <c r="H43" i="42"/>
  <c r="G43" i="42"/>
  <c r="F43" i="42"/>
  <c r="E43" i="42"/>
  <c r="D43" i="42"/>
  <c r="P42" i="42"/>
  <c r="O42" i="42"/>
  <c r="N42" i="42"/>
  <c r="M42" i="42"/>
  <c r="K42" i="42"/>
  <c r="J42" i="42"/>
  <c r="I42" i="42"/>
  <c r="H42" i="42"/>
  <c r="G42" i="42"/>
  <c r="F42" i="42"/>
  <c r="E42" i="42"/>
  <c r="D42" i="42"/>
  <c r="P41" i="42"/>
  <c r="O41" i="42"/>
  <c r="N41" i="42"/>
  <c r="M41" i="42"/>
  <c r="K41" i="42"/>
  <c r="J41" i="42"/>
  <c r="I41" i="42"/>
  <c r="H41" i="42"/>
  <c r="G41" i="42"/>
  <c r="F41" i="42"/>
  <c r="E41" i="42"/>
  <c r="D41" i="42"/>
  <c r="P40" i="42"/>
  <c r="O40" i="42"/>
  <c r="N40" i="42"/>
  <c r="M40" i="42"/>
  <c r="K40" i="42"/>
  <c r="J40" i="42"/>
  <c r="I40" i="42"/>
  <c r="H40" i="42"/>
  <c r="G40" i="42"/>
  <c r="F40" i="42"/>
  <c r="E40" i="42"/>
  <c r="D40" i="42"/>
  <c r="C40" i="42"/>
  <c r="P39" i="42"/>
  <c r="O39" i="42"/>
  <c r="N39" i="42"/>
  <c r="M39" i="42"/>
  <c r="K39" i="42"/>
  <c r="J39" i="42"/>
  <c r="I39" i="42"/>
  <c r="H39" i="42"/>
  <c r="G39" i="42"/>
  <c r="F39" i="42"/>
  <c r="E39" i="42"/>
  <c r="D39" i="42"/>
  <c r="C39" i="42"/>
  <c r="P38" i="42"/>
  <c r="O38" i="42"/>
  <c r="N38" i="42"/>
  <c r="M38" i="42"/>
  <c r="K38" i="42"/>
  <c r="J38" i="42"/>
  <c r="I38" i="42"/>
  <c r="H38" i="42"/>
  <c r="G38" i="42"/>
  <c r="F38" i="42"/>
  <c r="E38" i="42"/>
  <c r="D38" i="42"/>
  <c r="C38" i="42"/>
  <c r="P37" i="42"/>
  <c r="O37" i="42"/>
  <c r="N37" i="42"/>
  <c r="M37" i="42"/>
  <c r="K37" i="42"/>
  <c r="J37" i="42"/>
  <c r="I37" i="42"/>
  <c r="H37" i="42"/>
  <c r="G37" i="42"/>
  <c r="F37" i="42"/>
  <c r="E37" i="42"/>
  <c r="D37" i="42"/>
  <c r="C37" i="42"/>
  <c r="P36" i="42"/>
  <c r="O36" i="42"/>
  <c r="N36" i="42"/>
  <c r="M36" i="42"/>
  <c r="K36" i="42"/>
  <c r="J36" i="42"/>
  <c r="I36" i="42"/>
  <c r="H36" i="42"/>
  <c r="G36" i="42"/>
  <c r="F36" i="42"/>
  <c r="E36" i="42"/>
  <c r="D36" i="42"/>
  <c r="C36" i="42"/>
  <c r="P35" i="42"/>
  <c r="O35" i="42"/>
  <c r="N35" i="42"/>
  <c r="M35" i="42"/>
  <c r="K35" i="42"/>
  <c r="J35" i="42"/>
  <c r="I35" i="42"/>
  <c r="H35" i="42"/>
  <c r="G35" i="42"/>
  <c r="F35" i="42"/>
  <c r="E35" i="42"/>
  <c r="D35" i="42"/>
  <c r="C35" i="42"/>
  <c r="P34" i="42"/>
  <c r="O34" i="42"/>
  <c r="N34" i="42"/>
  <c r="M34" i="42"/>
  <c r="K34" i="42"/>
  <c r="J34" i="42"/>
  <c r="I34" i="42"/>
  <c r="H34" i="42"/>
  <c r="G34" i="42"/>
  <c r="F34" i="42"/>
  <c r="E34" i="42"/>
  <c r="D34" i="42"/>
  <c r="C34" i="42"/>
  <c r="P33" i="42"/>
  <c r="O33" i="42"/>
  <c r="N33" i="42"/>
  <c r="M33" i="42"/>
  <c r="K33" i="42"/>
  <c r="J33" i="42"/>
  <c r="I33" i="42"/>
  <c r="H33" i="42"/>
  <c r="G33" i="42"/>
  <c r="F33" i="42"/>
  <c r="E33" i="42"/>
  <c r="D33" i="42"/>
  <c r="C33" i="42"/>
  <c r="P32" i="42"/>
  <c r="O32" i="42"/>
  <c r="N32" i="42"/>
  <c r="M32" i="42"/>
  <c r="K32" i="42"/>
  <c r="J32" i="42"/>
  <c r="I32" i="42"/>
  <c r="H32" i="42"/>
  <c r="G32" i="42"/>
  <c r="F32" i="42"/>
  <c r="E32" i="42"/>
  <c r="D32" i="42"/>
  <c r="C32" i="42"/>
  <c r="P31" i="42"/>
  <c r="O31" i="42"/>
  <c r="N31" i="42"/>
  <c r="M31" i="42"/>
  <c r="K31" i="42"/>
  <c r="J31" i="42"/>
  <c r="I31" i="42"/>
  <c r="H31" i="42"/>
  <c r="G31" i="42"/>
  <c r="F31" i="42"/>
  <c r="E31" i="42"/>
  <c r="D31" i="42"/>
  <c r="C31" i="42"/>
  <c r="P30" i="42"/>
  <c r="O30" i="42"/>
  <c r="N30" i="42"/>
  <c r="M30" i="42"/>
  <c r="K30" i="42"/>
  <c r="J30" i="42"/>
  <c r="I30" i="42"/>
  <c r="H30" i="42"/>
  <c r="G30" i="42"/>
  <c r="F30" i="42"/>
  <c r="E30" i="42"/>
  <c r="D30" i="42"/>
  <c r="C30" i="42"/>
  <c r="P29" i="42"/>
  <c r="O29" i="42"/>
  <c r="N29" i="42"/>
  <c r="M29" i="42"/>
  <c r="K29" i="42"/>
  <c r="J29" i="42"/>
  <c r="I29" i="42"/>
  <c r="H29" i="42"/>
  <c r="G29" i="42"/>
  <c r="F29" i="42"/>
  <c r="E29" i="42"/>
  <c r="D29" i="42"/>
  <c r="C29" i="42"/>
  <c r="P28" i="42"/>
  <c r="O28" i="42"/>
  <c r="N28" i="42"/>
  <c r="M28" i="42"/>
  <c r="K28" i="42"/>
  <c r="J28" i="42"/>
  <c r="I28" i="42"/>
  <c r="H28" i="42"/>
  <c r="G28" i="42"/>
  <c r="F28" i="42"/>
  <c r="E28" i="42"/>
  <c r="D28" i="42"/>
  <c r="C28" i="42"/>
  <c r="P27" i="42"/>
  <c r="O27" i="42"/>
  <c r="N27" i="42"/>
  <c r="M27" i="42"/>
  <c r="K27" i="42"/>
  <c r="J27" i="42"/>
  <c r="I27" i="42"/>
  <c r="H27" i="42"/>
  <c r="G27" i="42"/>
  <c r="F27" i="42"/>
  <c r="E27" i="42"/>
  <c r="D27" i="42"/>
  <c r="C27" i="42"/>
  <c r="P26" i="42"/>
  <c r="O26" i="42"/>
  <c r="N26" i="42"/>
  <c r="M26" i="42"/>
  <c r="K26" i="42"/>
  <c r="J26" i="42"/>
  <c r="I26" i="42"/>
  <c r="H26" i="42"/>
  <c r="G26" i="42"/>
  <c r="F26" i="42"/>
  <c r="E26" i="42"/>
  <c r="D26" i="42"/>
  <c r="C26" i="42"/>
  <c r="P25" i="42"/>
  <c r="O25" i="42"/>
  <c r="N25" i="42"/>
  <c r="M25" i="42"/>
  <c r="K25" i="42"/>
  <c r="J25" i="42"/>
  <c r="I25" i="42"/>
  <c r="H25" i="42"/>
  <c r="G25" i="42"/>
  <c r="F25" i="42"/>
  <c r="E25" i="42"/>
  <c r="D25" i="42"/>
  <c r="C25" i="42"/>
  <c r="P24" i="42"/>
  <c r="O24" i="42"/>
  <c r="N24" i="42"/>
  <c r="M24" i="42"/>
  <c r="K24" i="42"/>
  <c r="J24" i="42"/>
  <c r="I24" i="42"/>
  <c r="H24" i="42"/>
  <c r="G24" i="42"/>
  <c r="F24" i="42"/>
  <c r="E24" i="42"/>
  <c r="D24" i="42"/>
  <c r="C24" i="42"/>
  <c r="P23" i="42"/>
  <c r="O23" i="42"/>
  <c r="N23" i="42"/>
  <c r="M23" i="42"/>
  <c r="L23" i="42"/>
  <c r="K23" i="42"/>
  <c r="J23" i="42"/>
  <c r="I23" i="42"/>
  <c r="H23" i="42"/>
  <c r="G23" i="42"/>
  <c r="F23" i="42"/>
  <c r="E23" i="42"/>
  <c r="D23" i="42"/>
  <c r="C23" i="42"/>
  <c r="B23" i="42"/>
  <c r="P22" i="42"/>
  <c r="O22" i="42"/>
  <c r="N22" i="42"/>
  <c r="M22" i="42"/>
  <c r="L22" i="42"/>
  <c r="K22" i="42"/>
  <c r="J22" i="42"/>
  <c r="I22" i="42"/>
  <c r="H22" i="42"/>
  <c r="G22" i="42"/>
  <c r="F22" i="42"/>
  <c r="E22" i="42"/>
  <c r="D22" i="42"/>
  <c r="C22" i="42"/>
  <c r="B22" i="42"/>
  <c r="P21" i="42"/>
  <c r="O21" i="42"/>
  <c r="N21" i="42"/>
  <c r="M21" i="42"/>
  <c r="L21" i="42"/>
  <c r="K21" i="42"/>
  <c r="J21" i="42"/>
  <c r="I21" i="42"/>
  <c r="H21" i="42"/>
  <c r="G21" i="42"/>
  <c r="F21" i="42"/>
  <c r="E21" i="42"/>
  <c r="D21" i="42"/>
  <c r="C21" i="42"/>
  <c r="B21" i="42"/>
  <c r="P20" i="42"/>
  <c r="O20" i="42"/>
  <c r="N20" i="42"/>
  <c r="M20" i="42"/>
  <c r="L20" i="42"/>
  <c r="K20" i="42"/>
  <c r="J20" i="42"/>
  <c r="I20" i="42"/>
  <c r="H20" i="42"/>
  <c r="G20" i="42"/>
  <c r="F20" i="42"/>
  <c r="E20" i="42"/>
  <c r="D20" i="42"/>
  <c r="C20" i="42"/>
  <c r="B20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D19" i="42"/>
  <c r="C19" i="42"/>
  <c r="B19" i="42"/>
  <c r="P18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C18" i="42"/>
  <c r="B18" i="42"/>
  <c r="P17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C17" i="42"/>
  <c r="B17" i="42"/>
  <c r="P16" i="42"/>
  <c r="O16" i="42"/>
  <c r="N16" i="42"/>
  <c r="M16" i="42"/>
  <c r="L16" i="42"/>
  <c r="K16" i="42"/>
  <c r="J16" i="42"/>
  <c r="I16" i="42"/>
  <c r="H16" i="42"/>
  <c r="G16" i="42"/>
  <c r="F16" i="42"/>
  <c r="E16" i="42"/>
  <c r="D16" i="42"/>
  <c r="C16" i="42"/>
  <c r="B16" i="42"/>
  <c r="P15" i="42"/>
  <c r="O15" i="42"/>
  <c r="N15" i="42"/>
  <c r="M15" i="42"/>
  <c r="L15" i="42"/>
  <c r="K15" i="42"/>
  <c r="J15" i="42"/>
  <c r="I15" i="42"/>
  <c r="H15" i="42"/>
  <c r="G15" i="42"/>
  <c r="F15" i="42"/>
  <c r="E15" i="42"/>
  <c r="D15" i="42"/>
  <c r="C15" i="42"/>
  <c r="B15" i="42"/>
  <c r="P14" i="42"/>
  <c r="O14" i="42"/>
  <c r="N14" i="42"/>
  <c r="M14" i="42"/>
  <c r="L14" i="42"/>
  <c r="K14" i="42"/>
  <c r="J14" i="42"/>
  <c r="I14" i="42"/>
  <c r="H14" i="42"/>
  <c r="G14" i="42"/>
  <c r="F14" i="42"/>
  <c r="E14" i="42"/>
  <c r="D14" i="42"/>
  <c r="C14" i="42"/>
  <c r="B14" i="42"/>
  <c r="P13" i="42"/>
  <c r="O13" i="42"/>
  <c r="N13" i="42"/>
  <c r="M13" i="42"/>
  <c r="L13" i="42"/>
  <c r="K13" i="42"/>
  <c r="J13" i="42"/>
  <c r="I13" i="42"/>
  <c r="H13" i="42"/>
  <c r="G13" i="42"/>
  <c r="F13" i="42"/>
  <c r="E13" i="42"/>
  <c r="D13" i="42"/>
  <c r="C13" i="42"/>
  <c r="B13" i="42"/>
  <c r="P12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C12" i="42"/>
  <c r="B12" i="42"/>
  <c r="P11" i="42"/>
  <c r="O11" i="42"/>
  <c r="N11" i="42"/>
  <c r="M11" i="42"/>
  <c r="L11" i="42"/>
  <c r="K11" i="42"/>
  <c r="J11" i="42"/>
  <c r="I11" i="42"/>
  <c r="H11" i="42"/>
  <c r="G11" i="42"/>
  <c r="F11" i="42"/>
  <c r="E11" i="42"/>
  <c r="D11" i="42"/>
  <c r="C11" i="42"/>
  <c r="B11" i="42"/>
  <c r="P10" i="42"/>
  <c r="O10" i="42"/>
  <c r="N10" i="42"/>
  <c r="M10" i="42"/>
  <c r="L10" i="42"/>
  <c r="K10" i="42"/>
  <c r="J10" i="42"/>
  <c r="I10" i="42"/>
  <c r="H10" i="42"/>
  <c r="G10" i="42"/>
  <c r="F10" i="42"/>
  <c r="E10" i="42"/>
  <c r="D10" i="42"/>
  <c r="C10" i="42"/>
  <c r="B10" i="42"/>
  <c r="P9" i="42"/>
  <c r="O9" i="42"/>
  <c r="N9" i="42"/>
  <c r="M9" i="42"/>
  <c r="L9" i="42"/>
  <c r="K9" i="42"/>
  <c r="J9" i="42"/>
  <c r="I9" i="42"/>
  <c r="H9" i="42"/>
  <c r="G9" i="42"/>
  <c r="F9" i="42"/>
  <c r="E9" i="42"/>
  <c r="D9" i="42"/>
  <c r="C9" i="42"/>
  <c r="B9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B8" i="42"/>
  <c r="P7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B7" i="42"/>
  <c r="P6" i="42"/>
  <c r="O6" i="42"/>
  <c r="N6" i="42"/>
  <c r="M6" i="42"/>
  <c r="L6" i="42"/>
  <c r="K6" i="42"/>
  <c r="J6" i="42"/>
  <c r="I6" i="42"/>
  <c r="H6" i="42"/>
  <c r="G6" i="42"/>
  <c r="F6" i="42"/>
  <c r="E6" i="42"/>
  <c r="D6" i="42"/>
  <c r="C6" i="42"/>
  <c r="B6" i="42"/>
  <c r="P5" i="42"/>
  <c r="O5" i="42"/>
  <c r="N5" i="42"/>
  <c r="M5" i="42"/>
  <c r="L5" i="42"/>
  <c r="K5" i="42"/>
  <c r="J5" i="42"/>
  <c r="I5" i="42"/>
  <c r="H5" i="42"/>
  <c r="G5" i="42"/>
  <c r="F5" i="42"/>
  <c r="E5" i="42"/>
  <c r="D5" i="42"/>
  <c r="C5" i="42"/>
  <c r="B5" i="42"/>
  <c r="P4" i="42"/>
  <c r="O4" i="42"/>
  <c r="N4" i="42"/>
  <c r="M4" i="42"/>
  <c r="L4" i="42"/>
  <c r="K4" i="42"/>
  <c r="J4" i="42"/>
  <c r="I4" i="42"/>
  <c r="H4" i="42"/>
  <c r="G4" i="42"/>
  <c r="F4" i="42"/>
  <c r="E4" i="42"/>
  <c r="D4" i="42"/>
  <c r="C4" i="42"/>
  <c r="B4" i="42"/>
  <c r="P3" i="42"/>
  <c r="O3" i="42"/>
  <c r="N3" i="42"/>
  <c r="M3" i="42"/>
  <c r="L3" i="42"/>
  <c r="K3" i="42"/>
  <c r="J3" i="42"/>
  <c r="I3" i="42"/>
  <c r="H3" i="42"/>
  <c r="G3" i="42"/>
  <c r="F3" i="42"/>
  <c r="E3" i="42"/>
  <c r="D3" i="42"/>
  <c r="N48" i="2"/>
  <c r="O48" i="2"/>
  <c r="P48" i="2"/>
  <c r="N49" i="2"/>
  <c r="O49" i="2"/>
  <c r="P49" i="2"/>
  <c r="N50" i="2"/>
  <c r="O50" i="2"/>
  <c r="P50" i="2"/>
  <c r="N51" i="2"/>
  <c r="O51" i="2"/>
  <c r="P51" i="2"/>
  <c r="N52" i="2"/>
  <c r="O52" i="2"/>
  <c r="P52" i="2"/>
  <c r="N53" i="2"/>
  <c r="O53" i="2"/>
  <c r="P53" i="2"/>
  <c r="N54" i="2"/>
  <c r="O54" i="2"/>
  <c r="P54" i="2"/>
  <c r="M24" i="2"/>
  <c r="N24" i="2"/>
  <c r="O24" i="2"/>
  <c r="P24" i="2"/>
  <c r="M25" i="2"/>
  <c r="N25" i="2"/>
  <c r="O25" i="2"/>
  <c r="P25" i="2"/>
  <c r="M26" i="2"/>
  <c r="N26" i="2"/>
  <c r="O26" i="2"/>
  <c r="P26" i="2"/>
  <c r="M27" i="2"/>
  <c r="N27" i="2"/>
  <c r="O27" i="2"/>
  <c r="P27" i="2"/>
  <c r="M28" i="2"/>
  <c r="N28" i="2"/>
  <c r="O28" i="2"/>
  <c r="P28" i="2"/>
  <c r="M29" i="2"/>
  <c r="N29" i="2"/>
  <c r="O29" i="2"/>
  <c r="P29" i="2"/>
  <c r="M30" i="2"/>
  <c r="N30" i="2"/>
  <c r="O30" i="2"/>
  <c r="P30" i="2"/>
  <c r="M31" i="2"/>
  <c r="N31" i="2"/>
  <c r="O31" i="2"/>
  <c r="P31" i="2"/>
  <c r="M32" i="2"/>
  <c r="N32" i="2"/>
  <c r="O32" i="2"/>
  <c r="P32" i="2"/>
  <c r="M33" i="2"/>
  <c r="N33" i="2"/>
  <c r="O33" i="2"/>
  <c r="P33" i="2"/>
  <c r="M34" i="2"/>
  <c r="N34" i="2"/>
  <c r="O34" i="2"/>
  <c r="P34" i="2"/>
  <c r="M35" i="2"/>
  <c r="N35" i="2"/>
  <c r="O35" i="2"/>
  <c r="P35" i="2"/>
  <c r="M36" i="2"/>
  <c r="N36" i="2"/>
  <c r="O36" i="2"/>
  <c r="P36" i="2"/>
  <c r="M37" i="2"/>
  <c r="N37" i="2"/>
  <c r="O37" i="2"/>
  <c r="P37" i="2"/>
  <c r="M38" i="2"/>
  <c r="N38" i="2"/>
  <c r="O38" i="2"/>
  <c r="P38" i="2"/>
  <c r="M39" i="2"/>
  <c r="N39" i="2"/>
  <c r="O39" i="2"/>
  <c r="P39" i="2"/>
  <c r="M40" i="2"/>
  <c r="N40" i="2"/>
  <c r="O40" i="2"/>
  <c r="P40" i="2"/>
  <c r="M41" i="2"/>
  <c r="N41" i="2"/>
  <c r="O41" i="2"/>
  <c r="P41" i="2"/>
  <c r="M42" i="2"/>
  <c r="N42" i="2"/>
  <c r="O42" i="2"/>
  <c r="P42" i="2"/>
  <c r="M43" i="2"/>
  <c r="N43" i="2"/>
  <c r="O43" i="2"/>
  <c r="P43" i="2"/>
  <c r="M44" i="2"/>
  <c r="N44" i="2"/>
  <c r="O44" i="2"/>
  <c r="P44" i="2"/>
  <c r="M45" i="2"/>
  <c r="N45" i="2"/>
  <c r="O45" i="2"/>
  <c r="P45" i="2"/>
  <c r="M46" i="2"/>
  <c r="N46" i="2"/>
  <c r="O46" i="2"/>
  <c r="P46" i="2"/>
  <c r="M47" i="2"/>
  <c r="N47" i="2"/>
  <c r="O47" i="2"/>
  <c r="P47" i="2"/>
  <c r="L4" i="2"/>
  <c r="M4" i="2"/>
  <c r="N4" i="2"/>
  <c r="O4" i="2"/>
  <c r="P4" i="2"/>
  <c r="L5" i="2"/>
  <c r="M5" i="2"/>
  <c r="N5" i="2"/>
  <c r="O5" i="2"/>
  <c r="P5" i="2"/>
  <c r="L6" i="2"/>
  <c r="M6" i="2"/>
  <c r="N6" i="2"/>
  <c r="O6" i="2"/>
  <c r="P6" i="2"/>
  <c r="L7" i="2"/>
  <c r="M7" i="2"/>
  <c r="N7" i="2"/>
  <c r="O7" i="2"/>
  <c r="P7" i="2"/>
  <c r="L8" i="2"/>
  <c r="M8" i="2"/>
  <c r="N8" i="2"/>
  <c r="O8" i="2"/>
  <c r="P8" i="2"/>
  <c r="L9" i="2"/>
  <c r="M9" i="2"/>
  <c r="N9" i="2"/>
  <c r="O9" i="2"/>
  <c r="P9" i="2"/>
  <c r="L10" i="2"/>
  <c r="M10" i="2"/>
  <c r="N10" i="2"/>
  <c r="O10" i="2"/>
  <c r="P10" i="2"/>
  <c r="L11" i="2"/>
  <c r="M11" i="2"/>
  <c r="N11" i="2"/>
  <c r="O11" i="2"/>
  <c r="P11" i="2"/>
  <c r="L12" i="2"/>
  <c r="M12" i="2"/>
  <c r="N12" i="2"/>
  <c r="O12" i="2"/>
  <c r="P12" i="2"/>
  <c r="L13" i="2"/>
  <c r="M13" i="2"/>
  <c r="N13" i="2"/>
  <c r="O13" i="2"/>
  <c r="P13" i="2"/>
  <c r="L14" i="2"/>
  <c r="M14" i="2"/>
  <c r="N14" i="2"/>
  <c r="O14" i="2"/>
  <c r="P14" i="2"/>
  <c r="L15" i="2"/>
  <c r="M15" i="2"/>
  <c r="N15" i="2"/>
  <c r="O15" i="2"/>
  <c r="P15" i="2"/>
  <c r="L16" i="2"/>
  <c r="M16" i="2"/>
  <c r="N16" i="2"/>
  <c r="O16" i="2"/>
  <c r="P16" i="2"/>
  <c r="L17" i="2"/>
  <c r="M17" i="2"/>
  <c r="N17" i="2"/>
  <c r="O17" i="2"/>
  <c r="P17" i="2"/>
  <c r="L18" i="2"/>
  <c r="M18" i="2"/>
  <c r="N18" i="2"/>
  <c r="O18" i="2"/>
  <c r="P18" i="2"/>
  <c r="L19" i="2"/>
  <c r="M19" i="2"/>
  <c r="N19" i="2"/>
  <c r="O19" i="2"/>
  <c r="P19" i="2"/>
  <c r="L20" i="2"/>
  <c r="M20" i="2"/>
  <c r="N20" i="2"/>
  <c r="O20" i="2"/>
  <c r="P20" i="2"/>
  <c r="L21" i="2"/>
  <c r="M21" i="2"/>
  <c r="N21" i="2"/>
  <c r="O21" i="2"/>
  <c r="P21" i="2"/>
  <c r="L22" i="2"/>
  <c r="M22" i="2"/>
  <c r="N22" i="2"/>
  <c r="O22" i="2"/>
  <c r="P22" i="2"/>
  <c r="L23" i="2"/>
  <c r="M23" i="2"/>
  <c r="N23" i="2"/>
  <c r="O23" i="2"/>
  <c r="P23" i="2"/>
  <c r="M3" i="2"/>
  <c r="N3" i="2"/>
  <c r="O3" i="2"/>
  <c r="P3" i="2"/>
  <c r="L3" i="2"/>
  <c r="K3" i="2"/>
  <c r="F3" i="2"/>
  <c r="G3" i="2"/>
  <c r="H3" i="2"/>
  <c r="F4" i="2"/>
  <c r="G4" i="2"/>
  <c r="H4" i="2"/>
  <c r="F5" i="2"/>
  <c r="G5" i="2"/>
  <c r="H5" i="2"/>
  <c r="F6" i="2"/>
  <c r="G6" i="2"/>
  <c r="H6" i="2"/>
  <c r="F7" i="2"/>
  <c r="G7" i="2"/>
  <c r="H7" i="2"/>
  <c r="F8" i="2"/>
  <c r="G8" i="2"/>
  <c r="H8" i="2"/>
  <c r="F9" i="2"/>
  <c r="G9" i="2"/>
  <c r="H9" i="2"/>
  <c r="F10" i="2"/>
  <c r="G10" i="2"/>
  <c r="H10" i="2"/>
  <c r="F11" i="2"/>
  <c r="G11" i="2"/>
  <c r="H11" i="2"/>
  <c r="F12" i="2"/>
  <c r="G12" i="2"/>
  <c r="H12" i="2"/>
  <c r="F13" i="2"/>
  <c r="G13" i="2"/>
  <c r="H13" i="2"/>
  <c r="F14" i="2"/>
  <c r="G14" i="2"/>
  <c r="H14" i="2"/>
  <c r="F15" i="2"/>
  <c r="G15" i="2"/>
  <c r="H15" i="2"/>
  <c r="F16" i="2"/>
  <c r="G16" i="2"/>
  <c r="H16" i="2"/>
  <c r="F17" i="2"/>
  <c r="G17" i="2"/>
  <c r="H17" i="2"/>
  <c r="F18" i="2"/>
  <c r="G18" i="2"/>
  <c r="H18" i="2"/>
  <c r="F19" i="2"/>
  <c r="G19" i="2"/>
  <c r="H19" i="2"/>
  <c r="F20" i="2"/>
  <c r="G20" i="2"/>
  <c r="H20" i="2"/>
  <c r="F21" i="2"/>
  <c r="G21" i="2"/>
  <c r="H21" i="2"/>
  <c r="F22" i="2"/>
  <c r="G22" i="2"/>
  <c r="H22" i="2"/>
  <c r="F23" i="2"/>
  <c r="G23" i="2"/>
  <c r="H23" i="2"/>
  <c r="F24" i="2"/>
  <c r="G24" i="2"/>
  <c r="H24" i="2"/>
  <c r="F25" i="2"/>
  <c r="G25" i="2"/>
  <c r="H25" i="2"/>
  <c r="F26" i="2"/>
  <c r="G26" i="2"/>
  <c r="H26" i="2"/>
  <c r="F27" i="2"/>
  <c r="G27" i="2"/>
  <c r="H27" i="2"/>
  <c r="F28" i="2"/>
  <c r="G28" i="2"/>
  <c r="H28" i="2"/>
  <c r="F29" i="2"/>
  <c r="G29" i="2"/>
  <c r="H29" i="2"/>
  <c r="F30" i="2"/>
  <c r="G30" i="2"/>
  <c r="H30" i="2"/>
  <c r="F31" i="2"/>
  <c r="G31" i="2"/>
  <c r="H31" i="2"/>
  <c r="F32" i="2"/>
  <c r="G32" i="2"/>
  <c r="H32" i="2"/>
  <c r="F33" i="2"/>
  <c r="G33" i="2"/>
  <c r="H33" i="2"/>
  <c r="F34" i="2"/>
  <c r="G34" i="2"/>
  <c r="H34" i="2"/>
  <c r="F35" i="2"/>
  <c r="G35" i="2"/>
  <c r="H35" i="2"/>
  <c r="F36" i="2"/>
  <c r="G36" i="2"/>
  <c r="H36" i="2"/>
  <c r="F37" i="2"/>
  <c r="G37" i="2"/>
  <c r="H37" i="2"/>
  <c r="F38" i="2"/>
  <c r="G38" i="2"/>
  <c r="H38" i="2"/>
  <c r="F39" i="2"/>
  <c r="G39" i="2"/>
  <c r="H39" i="2"/>
  <c r="F40" i="2"/>
  <c r="G40" i="2"/>
  <c r="H40" i="2"/>
  <c r="F41" i="2"/>
  <c r="G41" i="2"/>
  <c r="H41" i="2"/>
  <c r="F42" i="2"/>
  <c r="G42" i="2"/>
  <c r="H42" i="2"/>
  <c r="F43" i="2"/>
  <c r="G43" i="2"/>
  <c r="H43" i="2"/>
  <c r="F44" i="2"/>
  <c r="G44" i="2"/>
  <c r="H44" i="2"/>
  <c r="F45" i="2"/>
  <c r="G45" i="2"/>
  <c r="H45" i="2"/>
  <c r="F46" i="2"/>
  <c r="G46" i="2"/>
  <c r="H46" i="2"/>
  <c r="F47" i="2"/>
  <c r="G47" i="2"/>
  <c r="H47" i="2"/>
  <c r="F48" i="2"/>
  <c r="G48" i="2"/>
  <c r="H48" i="2"/>
  <c r="F49" i="2"/>
  <c r="G49" i="2"/>
  <c r="H49" i="2"/>
  <c r="F50" i="2"/>
  <c r="G50" i="2"/>
  <c r="H50" i="2"/>
  <c r="F51" i="2"/>
  <c r="G51" i="2"/>
  <c r="H51" i="2"/>
  <c r="F52" i="2"/>
  <c r="G52" i="2"/>
  <c r="H52" i="2"/>
  <c r="F53" i="2"/>
  <c r="G53" i="2"/>
  <c r="H53" i="2"/>
  <c r="G54" i="2"/>
  <c r="H54" i="2"/>
  <c r="I4" i="2"/>
  <c r="J4" i="2"/>
  <c r="K4" i="2"/>
  <c r="I5" i="2"/>
  <c r="J5" i="2"/>
  <c r="K5" i="2"/>
  <c r="I6" i="2"/>
  <c r="J6" i="2"/>
  <c r="K6" i="2"/>
  <c r="I7" i="2"/>
  <c r="J7" i="2"/>
  <c r="K7" i="2"/>
  <c r="I8" i="2"/>
  <c r="J8" i="2"/>
  <c r="K8" i="2"/>
  <c r="I9" i="2"/>
  <c r="J9" i="2"/>
  <c r="K9" i="2"/>
  <c r="I10" i="2"/>
  <c r="J10" i="2"/>
  <c r="K10" i="2"/>
  <c r="I11" i="2"/>
  <c r="J11" i="2"/>
  <c r="K11" i="2"/>
  <c r="I12" i="2"/>
  <c r="J12" i="2"/>
  <c r="K12" i="2"/>
  <c r="I13" i="2"/>
  <c r="J13" i="2"/>
  <c r="K13" i="2"/>
  <c r="I14" i="2"/>
  <c r="J14" i="2"/>
  <c r="K14" i="2"/>
  <c r="I15" i="2"/>
  <c r="J15" i="2"/>
  <c r="K15" i="2"/>
  <c r="I16" i="2"/>
  <c r="J16" i="2"/>
  <c r="K16" i="2"/>
  <c r="I17" i="2"/>
  <c r="J17" i="2"/>
  <c r="K17" i="2"/>
  <c r="I18" i="2"/>
  <c r="J18" i="2"/>
  <c r="K18" i="2"/>
  <c r="I19" i="2"/>
  <c r="J19" i="2"/>
  <c r="K19" i="2"/>
  <c r="I20" i="2"/>
  <c r="J20" i="2"/>
  <c r="K20" i="2"/>
  <c r="I21" i="2"/>
  <c r="J21" i="2"/>
  <c r="K21" i="2"/>
  <c r="I22" i="2"/>
  <c r="J22" i="2"/>
  <c r="K22" i="2"/>
  <c r="I23" i="2"/>
  <c r="J23" i="2"/>
  <c r="K23" i="2"/>
  <c r="I24" i="2"/>
  <c r="J24" i="2"/>
  <c r="K24" i="2"/>
  <c r="I25" i="2"/>
  <c r="J25" i="2"/>
  <c r="K25" i="2"/>
  <c r="I26" i="2"/>
  <c r="J26" i="2"/>
  <c r="K26" i="2"/>
  <c r="I27" i="2"/>
  <c r="J27" i="2"/>
  <c r="K27" i="2"/>
  <c r="I28" i="2"/>
  <c r="J28" i="2"/>
  <c r="K28" i="2"/>
  <c r="I29" i="2"/>
  <c r="J29" i="2"/>
  <c r="K29" i="2"/>
  <c r="I30" i="2"/>
  <c r="J30" i="2"/>
  <c r="K30" i="2"/>
  <c r="I31" i="2"/>
  <c r="J31" i="2"/>
  <c r="K31" i="2"/>
  <c r="I32" i="2"/>
  <c r="J32" i="2"/>
  <c r="K32" i="2"/>
  <c r="I33" i="2"/>
  <c r="J33" i="2"/>
  <c r="K33" i="2"/>
  <c r="I34" i="2"/>
  <c r="J34" i="2"/>
  <c r="K34" i="2"/>
  <c r="I35" i="2"/>
  <c r="J35" i="2"/>
  <c r="K35" i="2"/>
  <c r="I36" i="2"/>
  <c r="J36" i="2"/>
  <c r="K36" i="2"/>
  <c r="I37" i="2"/>
  <c r="J37" i="2"/>
  <c r="K37" i="2"/>
  <c r="I38" i="2"/>
  <c r="J38" i="2"/>
  <c r="K38" i="2"/>
  <c r="I39" i="2"/>
  <c r="J39" i="2"/>
  <c r="K39" i="2"/>
  <c r="I40" i="2"/>
  <c r="J40" i="2"/>
  <c r="K40" i="2"/>
  <c r="I41" i="2"/>
  <c r="J41" i="2"/>
  <c r="K41" i="2"/>
  <c r="I42" i="2"/>
  <c r="J42" i="2"/>
  <c r="K42" i="2"/>
  <c r="I43" i="2"/>
  <c r="J43" i="2"/>
  <c r="K43" i="2"/>
  <c r="I44" i="2"/>
  <c r="J44" i="2"/>
  <c r="K44" i="2"/>
  <c r="I45" i="2"/>
  <c r="J45" i="2"/>
  <c r="K45" i="2"/>
  <c r="I46" i="2"/>
  <c r="J46" i="2"/>
  <c r="K46" i="2"/>
  <c r="I47" i="2"/>
  <c r="J47" i="2"/>
  <c r="K47" i="2"/>
  <c r="I48" i="2"/>
  <c r="J48" i="2"/>
  <c r="K48" i="2"/>
  <c r="I49" i="2"/>
  <c r="J49" i="2"/>
  <c r="K49" i="2"/>
  <c r="I50" i="2"/>
  <c r="J50" i="2"/>
  <c r="K50" i="2"/>
  <c r="I51" i="2"/>
  <c r="J51" i="2"/>
  <c r="K51" i="2"/>
  <c r="I52" i="2"/>
  <c r="J52" i="2"/>
  <c r="K52" i="2"/>
  <c r="I53" i="2"/>
  <c r="J53" i="2"/>
  <c r="K53" i="2"/>
  <c r="I54" i="2"/>
  <c r="J54" i="2"/>
  <c r="K54" i="2"/>
  <c r="J3" i="2"/>
  <c r="I3" i="2"/>
  <c r="F54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3" i="2"/>
  <c r="E4" i="2"/>
  <c r="E5" i="2"/>
  <c r="E6" i="2"/>
  <c r="E7" i="2"/>
  <c r="E8" i="2"/>
  <c r="E9" i="2"/>
  <c r="E10" i="2"/>
  <c r="E11" i="2"/>
  <c r="E12" i="2"/>
  <c r="D41" i="2"/>
  <c r="D42" i="2"/>
  <c r="D43" i="2"/>
  <c r="D44" i="2"/>
  <c r="D45" i="2"/>
  <c r="D46" i="2"/>
  <c r="D47" i="2"/>
  <c r="C24" i="2"/>
  <c r="D24" i="2"/>
  <c r="C25" i="2"/>
  <c r="D25" i="2"/>
  <c r="C26" i="2"/>
  <c r="D26" i="2"/>
  <c r="C27" i="2"/>
  <c r="D27" i="2"/>
  <c r="C28" i="2"/>
  <c r="D28" i="2"/>
  <c r="C29" i="2"/>
  <c r="D29" i="2"/>
  <c r="C30" i="2"/>
  <c r="D30" i="2"/>
  <c r="C31" i="2"/>
  <c r="D31" i="2"/>
  <c r="C32" i="2"/>
  <c r="D32" i="2"/>
  <c r="C33" i="2"/>
  <c r="D33" i="2"/>
  <c r="C34" i="2"/>
  <c r="D34" i="2"/>
  <c r="C35" i="2"/>
  <c r="D35" i="2"/>
  <c r="C36" i="2"/>
  <c r="D36" i="2"/>
  <c r="C37" i="2"/>
  <c r="D37" i="2"/>
  <c r="C38" i="2"/>
  <c r="D38" i="2"/>
  <c r="C39" i="2"/>
  <c r="D39" i="2"/>
  <c r="C40" i="2"/>
  <c r="D40" i="2"/>
  <c r="B4" i="2"/>
  <c r="C4" i="2"/>
  <c r="D4" i="2"/>
  <c r="B5" i="2"/>
  <c r="C5" i="2"/>
  <c r="D5" i="2"/>
  <c r="B6" i="2"/>
  <c r="C6" i="2"/>
  <c r="D6" i="2"/>
  <c r="B7" i="2"/>
  <c r="C7" i="2"/>
  <c r="D7" i="2"/>
  <c r="B8" i="2"/>
  <c r="C8" i="2"/>
  <c r="D8" i="2"/>
  <c r="B9" i="2"/>
  <c r="C9" i="2"/>
  <c r="D9" i="2"/>
  <c r="B10" i="2"/>
  <c r="C10" i="2"/>
  <c r="D10" i="2"/>
  <c r="B11" i="2"/>
  <c r="C11" i="2"/>
  <c r="D11" i="2"/>
  <c r="B12" i="2"/>
  <c r="C12" i="2"/>
  <c r="D12" i="2"/>
  <c r="B13" i="2"/>
  <c r="C13" i="2"/>
  <c r="D13" i="2"/>
  <c r="B14" i="2"/>
  <c r="C14" i="2"/>
  <c r="D14" i="2"/>
  <c r="B15" i="2"/>
  <c r="C15" i="2"/>
  <c r="D15" i="2"/>
  <c r="B16" i="2"/>
  <c r="C16" i="2"/>
  <c r="D16" i="2"/>
  <c r="B17" i="2"/>
  <c r="C17" i="2"/>
  <c r="D17" i="2"/>
  <c r="B18" i="2"/>
  <c r="C18" i="2"/>
  <c r="D18" i="2"/>
  <c r="B19" i="2"/>
  <c r="C19" i="2"/>
  <c r="D19" i="2"/>
  <c r="B20" i="2"/>
  <c r="C20" i="2"/>
  <c r="D20" i="2"/>
  <c r="B21" i="2"/>
  <c r="C21" i="2"/>
  <c r="D21" i="2"/>
  <c r="B22" i="2"/>
  <c r="C22" i="2"/>
  <c r="D22" i="2"/>
  <c r="B23" i="2"/>
  <c r="C23" i="2"/>
  <c r="D23" i="2"/>
  <c r="C3" i="2"/>
  <c r="D3" i="2"/>
  <c r="B3" i="2"/>
  <c r="H119" i="9" l="1"/>
  <c r="I21" i="4"/>
  <c r="J21" i="4"/>
  <c r="H21" i="4"/>
  <c r="F21" i="4"/>
  <c r="G21" i="4"/>
  <c r="E21" i="4"/>
  <c r="I20" i="4"/>
  <c r="J20" i="4"/>
  <c r="H20" i="4"/>
  <c r="F20" i="4"/>
  <c r="G20" i="4"/>
  <c r="E20" i="4"/>
  <c r="J17" i="23"/>
  <c r="I17" i="23"/>
  <c r="H17" i="23"/>
  <c r="J16" i="23"/>
  <c r="I16" i="23"/>
  <c r="H16" i="23"/>
  <c r="J14" i="23"/>
  <c r="I14" i="23"/>
  <c r="H14" i="23"/>
  <c r="J13" i="23"/>
  <c r="I13" i="23"/>
  <c r="H13" i="23"/>
  <c r="J12" i="23"/>
  <c r="I12" i="23"/>
  <c r="H12" i="23"/>
  <c r="J10" i="23"/>
  <c r="I10" i="23"/>
  <c r="H10" i="23"/>
  <c r="J9" i="23"/>
  <c r="I9" i="23"/>
  <c r="H9" i="23"/>
  <c r="J8" i="23"/>
  <c r="I8" i="23"/>
  <c r="H8" i="23"/>
  <c r="J7" i="23"/>
  <c r="I7" i="23"/>
  <c r="H7" i="23"/>
  <c r="J5" i="23"/>
  <c r="I5" i="23"/>
  <c r="H5" i="23"/>
  <c r="J4" i="23"/>
  <c r="I4" i="23"/>
  <c r="H4" i="23"/>
  <c r="J3" i="23"/>
  <c r="I3" i="23"/>
  <c r="H3" i="23"/>
  <c r="G17" i="23"/>
  <c r="F17" i="23"/>
  <c r="E17" i="23"/>
  <c r="G16" i="23"/>
  <c r="F16" i="23"/>
  <c r="E16" i="23"/>
  <c r="G14" i="23"/>
  <c r="F14" i="23"/>
  <c r="E14" i="23"/>
  <c r="G13" i="23"/>
  <c r="F13" i="23"/>
  <c r="E13" i="23"/>
  <c r="G12" i="23"/>
  <c r="F12" i="23"/>
  <c r="E12" i="23"/>
  <c r="G10" i="23"/>
  <c r="F10" i="23"/>
  <c r="E10" i="23"/>
  <c r="G9" i="23"/>
  <c r="F9" i="23"/>
  <c r="E9" i="23"/>
  <c r="G8" i="23"/>
  <c r="F8" i="23"/>
  <c r="E8" i="23"/>
  <c r="G7" i="23"/>
  <c r="F7" i="23"/>
  <c r="E7" i="23"/>
  <c r="G5" i="23"/>
  <c r="F5" i="23"/>
  <c r="E5" i="23"/>
  <c r="G4" i="23"/>
  <c r="F4" i="23"/>
  <c r="E4" i="23"/>
  <c r="G3" i="23"/>
  <c r="F3" i="23"/>
  <c r="E3" i="23"/>
  <c r="I630" i="24"/>
  <c r="I629" i="24"/>
  <c r="I628" i="24"/>
  <c r="I627" i="24"/>
  <c r="I626" i="24"/>
  <c r="I625" i="24"/>
  <c r="I624" i="24"/>
  <c r="I623" i="24"/>
  <c r="I622" i="24"/>
  <c r="I621" i="24"/>
  <c r="I4" i="24"/>
  <c r="G629" i="24"/>
  <c r="G628" i="24"/>
  <c r="G627" i="24"/>
  <c r="G626" i="24"/>
  <c r="G625" i="24"/>
  <c r="G624" i="24"/>
  <c r="G623" i="24"/>
  <c r="G622" i="24"/>
  <c r="F629" i="24"/>
  <c r="F628" i="24"/>
  <c r="F627" i="24"/>
  <c r="F626" i="24"/>
  <c r="F625" i="24"/>
  <c r="F624" i="24"/>
  <c r="F623" i="24"/>
  <c r="F622" i="24"/>
  <c r="B3" i="22"/>
  <c r="E40" i="27"/>
  <c r="E41" i="27"/>
  <c r="E42" i="27"/>
  <c r="E43" i="27"/>
  <c r="E44" i="27"/>
  <c r="D45" i="27"/>
  <c r="D44" i="27"/>
  <c r="D43" i="27"/>
  <c r="D42" i="27"/>
  <c r="D41" i="27"/>
  <c r="D40" i="27"/>
  <c r="C44" i="27"/>
  <c r="C43" i="27"/>
  <c r="C42" i="27"/>
  <c r="C41" i="27"/>
  <c r="C40" i="27"/>
  <c r="B43" i="27"/>
  <c r="B44" i="27"/>
  <c r="B42" i="27"/>
  <c r="B41" i="27"/>
  <c r="B40" i="27"/>
  <c r="C49" i="27"/>
  <c r="E49" i="27"/>
  <c r="E50" i="27"/>
  <c r="E51" i="27"/>
  <c r="E52" i="27"/>
  <c r="E53" i="27"/>
  <c r="E54" i="27"/>
  <c r="E55" i="27"/>
  <c r="C47" i="27"/>
  <c r="C48" i="27"/>
  <c r="C51" i="27"/>
  <c r="C53" i="27"/>
  <c r="C54" i="27"/>
  <c r="C55" i="27"/>
  <c r="C52" i="27"/>
  <c r="C50" i="27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16" i="19"/>
  <c r="B17" i="19"/>
  <c r="B18" i="19"/>
  <c r="B19" i="19"/>
  <c r="B20" i="19"/>
  <c r="B21" i="19"/>
  <c r="B22" i="19"/>
  <c r="B23" i="19"/>
  <c r="B16" i="19"/>
  <c r="B17" i="20"/>
  <c r="B18" i="20"/>
  <c r="B19" i="20"/>
  <c r="B20" i="20"/>
  <c r="B21" i="20"/>
  <c r="B22" i="20"/>
  <c r="B23" i="20"/>
  <c r="B16" i="20"/>
  <c r="C19" i="27"/>
  <c r="C18" i="27"/>
  <c r="C17" i="27"/>
  <c r="B4" i="21"/>
  <c r="B5" i="21"/>
  <c r="B6" i="21"/>
  <c r="B7" i="21"/>
  <c r="B8" i="21"/>
  <c r="B9" i="21"/>
  <c r="B10" i="21"/>
  <c r="B11" i="21"/>
  <c r="B3" i="21"/>
  <c r="B15" i="20"/>
  <c r="B14" i="20"/>
  <c r="B13" i="20"/>
  <c r="B12" i="20"/>
  <c r="B11" i="20"/>
  <c r="B10" i="20"/>
  <c r="B9" i="20"/>
  <c r="B8" i="20"/>
  <c r="B7" i="20"/>
  <c r="B6" i="20"/>
  <c r="B5" i="20"/>
  <c r="B4" i="20"/>
  <c r="B3" i="20"/>
  <c r="B4" i="19"/>
  <c r="B5" i="19"/>
  <c r="B6" i="19"/>
  <c r="B7" i="19"/>
  <c r="B8" i="19"/>
  <c r="B9" i="19"/>
  <c r="B10" i="19"/>
  <c r="B11" i="19"/>
  <c r="B12" i="19"/>
  <c r="B13" i="19"/>
  <c r="B14" i="19"/>
  <c r="B15" i="19"/>
  <c r="B3" i="19"/>
  <c r="H606" i="24"/>
  <c r="H621" i="24"/>
  <c r="H622" i="24"/>
  <c r="H623" i="24"/>
  <c r="H624" i="24"/>
  <c r="H625" i="24"/>
  <c r="H626" i="24"/>
  <c r="H627" i="24"/>
  <c r="H628" i="24"/>
  <c r="H629" i="24"/>
  <c r="H630" i="24"/>
  <c r="C17" i="23"/>
  <c r="C16" i="23"/>
  <c r="C13" i="23"/>
  <c r="C14" i="23"/>
  <c r="C12" i="23"/>
  <c r="C8" i="23"/>
  <c r="C9" i="23"/>
  <c r="C10" i="23"/>
  <c r="C7" i="23"/>
  <c r="C4" i="23"/>
  <c r="C5" i="23"/>
  <c r="C3" i="23"/>
  <c r="K4" i="21"/>
  <c r="K5" i="21"/>
  <c r="K6" i="21"/>
  <c r="K7" i="21"/>
  <c r="K8" i="21"/>
  <c r="K9" i="21"/>
  <c r="K10" i="21"/>
  <c r="K11" i="21"/>
  <c r="K12" i="21"/>
  <c r="K13" i="21"/>
  <c r="K3" i="21"/>
  <c r="J4" i="21"/>
  <c r="J5" i="21"/>
  <c r="J6" i="21"/>
  <c r="J7" i="21"/>
  <c r="J8" i="21"/>
  <c r="J9" i="21"/>
  <c r="J10" i="21"/>
  <c r="J11" i="21"/>
  <c r="J12" i="21"/>
  <c r="J13" i="21"/>
  <c r="J3" i="21"/>
  <c r="I4" i="21"/>
  <c r="I5" i="21"/>
  <c r="I6" i="21"/>
  <c r="I7" i="21"/>
  <c r="I8" i="21"/>
  <c r="I9" i="21"/>
  <c r="I10" i="21"/>
  <c r="I11" i="21"/>
  <c r="I12" i="21"/>
  <c r="I13" i="21"/>
  <c r="I3" i="21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4" i="20"/>
  <c r="K5" i="20"/>
  <c r="K6" i="20"/>
  <c r="K7" i="20"/>
  <c r="K8" i="20"/>
  <c r="K9" i="20"/>
  <c r="K10" i="20"/>
  <c r="K11" i="20"/>
  <c r="K12" i="20"/>
  <c r="K13" i="20"/>
  <c r="K14" i="20"/>
  <c r="K15" i="20"/>
  <c r="K3" i="20"/>
  <c r="K16" i="20"/>
  <c r="J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16" i="20"/>
  <c r="J15" i="20"/>
  <c r="I15" i="20"/>
  <c r="I4" i="20"/>
  <c r="I5" i="20"/>
  <c r="I6" i="20"/>
  <c r="I7" i="20"/>
  <c r="I8" i="20"/>
  <c r="I9" i="20"/>
  <c r="I10" i="20"/>
  <c r="I11" i="20"/>
  <c r="I12" i="20"/>
  <c r="I13" i="20"/>
  <c r="I14" i="20"/>
  <c r="I3" i="20"/>
  <c r="K4" i="19"/>
  <c r="K5" i="19"/>
  <c r="K6" i="19"/>
  <c r="K7" i="19"/>
  <c r="K8" i="19"/>
  <c r="K9" i="19"/>
  <c r="K10" i="19"/>
  <c r="K11" i="19"/>
  <c r="K12" i="19"/>
  <c r="K13" i="19"/>
  <c r="K14" i="19"/>
  <c r="K15" i="19"/>
  <c r="K3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4" i="19"/>
  <c r="J5" i="19"/>
  <c r="J6" i="19"/>
  <c r="J7" i="19"/>
  <c r="J8" i="19"/>
  <c r="J9" i="19"/>
  <c r="J10" i="19"/>
  <c r="J11" i="19"/>
  <c r="J12" i="19"/>
  <c r="J13" i="19"/>
  <c r="J14" i="19"/>
  <c r="J15" i="19"/>
  <c r="J16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3" i="19"/>
  <c r="J3" i="19"/>
  <c r="B47" i="22"/>
  <c r="B27" i="22"/>
  <c r="B26" i="22"/>
  <c r="B25" i="22"/>
  <c r="B24" i="22"/>
  <c r="B23" i="22"/>
  <c r="B8" i="22"/>
  <c r="B7" i="22"/>
  <c r="B6" i="22"/>
  <c r="H43" i="32"/>
  <c r="H33" i="32"/>
  <c r="H32" i="32"/>
  <c r="H30" i="32"/>
  <c r="H28" i="32"/>
  <c r="H26" i="32"/>
  <c r="H25" i="32"/>
  <c r="H23" i="32"/>
  <c r="H21" i="32"/>
  <c r="H19" i="32"/>
  <c r="G53" i="32"/>
  <c r="G51" i="32"/>
  <c r="G51" i="17" s="1"/>
  <c r="G49" i="32"/>
  <c r="G47" i="32"/>
  <c r="G45" i="32"/>
  <c r="G43" i="32"/>
  <c r="G41" i="32"/>
  <c r="G40" i="32"/>
  <c r="G39" i="32"/>
  <c r="G39" i="17" s="1"/>
  <c r="G37" i="32"/>
  <c r="G35" i="32"/>
  <c r="G33" i="32"/>
  <c r="G32" i="32"/>
  <c r="G30" i="32"/>
  <c r="G28" i="32"/>
  <c r="G26" i="32"/>
  <c r="G25" i="32"/>
  <c r="G23" i="32"/>
  <c r="G21" i="32"/>
  <c r="G19" i="32"/>
  <c r="G17" i="32"/>
  <c r="G16" i="32"/>
  <c r="G15" i="32"/>
  <c r="G14" i="32"/>
  <c r="G12" i="32"/>
  <c r="G11" i="32"/>
  <c r="G10" i="32"/>
  <c r="G9" i="32"/>
  <c r="G7" i="32"/>
  <c r="G6" i="32"/>
  <c r="G5" i="32"/>
  <c r="G4" i="32"/>
  <c r="D113" i="31"/>
  <c r="D112" i="31"/>
  <c r="D111" i="31"/>
  <c r="D110" i="31"/>
  <c r="D108" i="31"/>
  <c r="D107" i="31"/>
  <c r="D106" i="31"/>
  <c r="D105" i="31"/>
  <c r="D103" i="31"/>
  <c r="D102" i="31"/>
  <c r="D101" i="31"/>
  <c r="D100" i="31"/>
  <c r="D98" i="31"/>
  <c r="D97" i="31"/>
  <c r="D96" i="31"/>
  <c r="D95" i="31"/>
  <c r="D94" i="31"/>
  <c r="D93" i="31"/>
  <c r="D92" i="31"/>
  <c r="D91" i="31"/>
  <c r="D89" i="31"/>
  <c r="D88" i="31"/>
  <c r="D87" i="31"/>
  <c r="D86" i="31"/>
  <c r="D85" i="31"/>
  <c r="D84" i="31"/>
  <c r="D83" i="31"/>
  <c r="D81" i="31"/>
  <c r="D80" i="31"/>
  <c r="D79" i="31"/>
  <c r="D78" i="31"/>
  <c r="D77" i="31"/>
  <c r="D76" i="31"/>
  <c r="D75" i="31"/>
  <c r="D74" i="31"/>
  <c r="D73" i="31"/>
  <c r="D72" i="31"/>
  <c r="D70" i="31"/>
  <c r="D69" i="31"/>
  <c r="D68" i="31"/>
  <c r="D67" i="31"/>
  <c r="D66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7" i="31"/>
  <c r="D16" i="31"/>
  <c r="D15" i="31"/>
  <c r="D14" i="31"/>
  <c r="D13" i="31"/>
  <c r="D12" i="31"/>
  <c r="D11" i="31"/>
  <c r="D10" i="31"/>
  <c r="D9" i="31"/>
  <c r="D8" i="31"/>
  <c r="D7" i="31"/>
  <c r="D6" i="31"/>
  <c r="D5" i="31"/>
  <c r="D4" i="31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4" i="31"/>
  <c r="F113" i="30"/>
  <c r="F112" i="30"/>
  <c r="F111" i="30"/>
  <c r="F110" i="30"/>
  <c r="F114" i="30"/>
  <c r="F115" i="30"/>
  <c r="F109" i="30"/>
  <c r="F107" i="30"/>
  <c r="F106" i="30"/>
  <c r="F105" i="30"/>
  <c r="F104" i="30"/>
  <c r="F103" i="30"/>
  <c r="F102" i="30"/>
  <c r="F101" i="30"/>
  <c r="F99" i="30"/>
  <c r="F98" i="30"/>
  <c r="F97" i="30"/>
  <c r="F96" i="30"/>
  <c r="F95" i="30"/>
  <c r="F94" i="30"/>
  <c r="F93" i="30"/>
  <c r="F91" i="30"/>
  <c r="F90" i="30"/>
  <c r="F89" i="30"/>
  <c r="F88" i="30"/>
  <c r="F87" i="30"/>
  <c r="F86" i="30"/>
  <c r="F85" i="30"/>
  <c r="F83" i="30"/>
  <c r="F82" i="30"/>
  <c r="F81" i="30"/>
  <c r="F80" i="30"/>
  <c r="F78" i="30"/>
  <c r="F77" i="30"/>
  <c r="F76" i="30"/>
  <c r="F75" i="30"/>
  <c r="F73" i="30"/>
  <c r="F72" i="30"/>
  <c r="F71" i="30"/>
  <c r="F70" i="30"/>
  <c r="F68" i="30"/>
  <c r="F67" i="30"/>
  <c r="F66" i="30"/>
  <c r="F65" i="30"/>
  <c r="F64" i="30"/>
  <c r="F63" i="30"/>
  <c r="F62" i="30"/>
  <c r="F61" i="30"/>
  <c r="F60" i="30"/>
  <c r="F59" i="30"/>
  <c r="F57" i="30"/>
  <c r="F56" i="30"/>
  <c r="F55" i="30"/>
  <c r="F54" i="30"/>
  <c r="F53" i="30"/>
  <c r="F52" i="30"/>
  <c r="F51" i="30"/>
  <c r="F50" i="30"/>
  <c r="F49" i="30"/>
  <c r="F48" i="30"/>
  <c r="F46" i="30"/>
  <c r="F45" i="30"/>
  <c r="F44" i="30"/>
  <c r="F43" i="30"/>
  <c r="F42" i="30"/>
  <c r="F41" i="30"/>
  <c r="F40" i="30"/>
  <c r="F39" i="30"/>
  <c r="F38" i="30"/>
  <c r="F37" i="30"/>
  <c r="F35" i="30"/>
  <c r="F34" i="30"/>
  <c r="F33" i="30"/>
  <c r="F32" i="30"/>
  <c r="F31" i="30"/>
  <c r="F30" i="30"/>
  <c r="F29" i="30"/>
  <c r="F28" i="30"/>
  <c r="F27" i="30"/>
  <c r="F26" i="30"/>
  <c r="F24" i="30"/>
  <c r="F23" i="30"/>
  <c r="F22" i="30"/>
  <c r="F21" i="30"/>
  <c r="F20" i="30"/>
  <c r="F19" i="30"/>
  <c r="F18" i="30"/>
  <c r="F17" i="30"/>
  <c r="F16" i="30"/>
  <c r="F15" i="30"/>
  <c r="F13" i="30"/>
  <c r="F12" i="30"/>
  <c r="F11" i="30"/>
  <c r="F10" i="30"/>
  <c r="F9" i="30"/>
  <c r="F8" i="30"/>
  <c r="F7" i="30"/>
  <c r="F6" i="30"/>
  <c r="F5" i="30"/>
  <c r="F4" i="30"/>
  <c r="G20" i="29"/>
  <c r="G19" i="29"/>
  <c r="G18" i="29"/>
  <c r="G17" i="29"/>
  <c r="G15" i="29"/>
  <c r="G14" i="29"/>
  <c r="G13" i="29"/>
  <c r="G12" i="29"/>
  <c r="G11" i="29"/>
  <c r="G10" i="29"/>
  <c r="G9" i="29"/>
  <c r="G8" i="29"/>
  <c r="G7" i="29"/>
  <c r="G6" i="29"/>
  <c r="G5" i="29"/>
  <c r="G4" i="29"/>
  <c r="F15" i="29"/>
  <c r="F14" i="29"/>
  <c r="F13" i="29"/>
  <c r="F12" i="29"/>
  <c r="F11" i="29"/>
  <c r="F10" i="29"/>
  <c r="F9" i="29"/>
  <c r="F8" i="29"/>
  <c r="F7" i="29"/>
  <c r="F6" i="29"/>
  <c r="F5" i="29"/>
  <c r="F4" i="29"/>
  <c r="B3" i="26"/>
  <c r="B4" i="26"/>
  <c r="B5" i="26"/>
  <c r="G53" i="17"/>
  <c r="G49" i="17"/>
  <c r="G47" i="17"/>
  <c r="G45" i="17"/>
  <c r="H43" i="17"/>
  <c r="G43" i="17"/>
  <c r="G41" i="17"/>
  <c r="G40" i="17"/>
  <c r="G37" i="17"/>
  <c r="G35" i="17"/>
  <c r="H33" i="17"/>
  <c r="G33" i="17"/>
  <c r="H32" i="17"/>
  <c r="G32" i="17"/>
  <c r="H30" i="17"/>
  <c r="G30" i="17"/>
  <c r="H28" i="17"/>
  <c r="G28" i="17"/>
  <c r="H26" i="17"/>
  <c r="G26" i="17"/>
  <c r="H25" i="17"/>
  <c r="G25" i="17"/>
  <c r="H23" i="17"/>
  <c r="G23" i="17"/>
  <c r="H21" i="17"/>
  <c r="G21" i="17"/>
  <c r="G20" i="17"/>
  <c r="H19" i="17"/>
  <c r="G19" i="17"/>
  <c r="G17" i="17"/>
  <c r="G16" i="17"/>
  <c r="G15" i="17"/>
  <c r="G14" i="17"/>
  <c r="G12" i="17"/>
  <c r="G11" i="17"/>
  <c r="G10" i="17"/>
  <c r="G9" i="17"/>
  <c r="G7" i="17"/>
  <c r="G6" i="17"/>
  <c r="G5" i="17"/>
  <c r="G4" i="17"/>
  <c r="D113" i="16"/>
  <c r="D112" i="16"/>
  <c r="D111" i="16"/>
  <c r="D110" i="16"/>
  <c r="D108" i="16"/>
  <c r="D107" i="16"/>
  <c r="D106" i="16"/>
  <c r="D105" i="16"/>
  <c r="D103" i="16"/>
  <c r="D102" i="16"/>
  <c r="D101" i="16"/>
  <c r="D100" i="16"/>
  <c r="D98" i="16"/>
  <c r="D97" i="16"/>
  <c r="D96" i="16"/>
  <c r="D95" i="16"/>
  <c r="D94" i="16"/>
  <c r="D93" i="16"/>
  <c r="D92" i="16"/>
  <c r="D91" i="16"/>
  <c r="D89" i="16"/>
  <c r="D88" i="16"/>
  <c r="D87" i="16"/>
  <c r="D86" i="16"/>
  <c r="D85" i="16"/>
  <c r="D84" i="16"/>
  <c r="D83" i="16"/>
  <c r="D81" i="16"/>
  <c r="D80" i="16"/>
  <c r="D79" i="16"/>
  <c r="D78" i="16"/>
  <c r="D77" i="16"/>
  <c r="D76" i="16"/>
  <c r="D75" i="16"/>
  <c r="D74" i="16"/>
  <c r="D73" i="16"/>
  <c r="D72" i="16"/>
  <c r="D70" i="16"/>
  <c r="D69" i="16"/>
  <c r="D68" i="16"/>
  <c r="D67" i="16"/>
  <c r="D66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E115" i="15"/>
  <c r="E114" i="15"/>
  <c r="E113" i="15"/>
  <c r="E112" i="15"/>
  <c r="E111" i="15"/>
  <c r="E110" i="15"/>
  <c r="E109" i="15"/>
  <c r="E107" i="15"/>
  <c r="E106" i="15"/>
  <c r="E105" i="15"/>
  <c r="E104" i="15"/>
  <c r="E103" i="15"/>
  <c r="E102" i="15"/>
  <c r="E101" i="15"/>
  <c r="E99" i="15"/>
  <c r="E98" i="15"/>
  <c r="E97" i="15"/>
  <c r="E96" i="15"/>
  <c r="E95" i="15"/>
  <c r="E94" i="15"/>
  <c r="E93" i="15"/>
  <c r="E91" i="15"/>
  <c r="E90" i="15"/>
  <c r="E89" i="15"/>
  <c r="E88" i="15"/>
  <c r="E87" i="15"/>
  <c r="E86" i="15"/>
  <c r="E85" i="15"/>
  <c r="F23" i="15"/>
  <c r="F22" i="15"/>
  <c r="F21" i="15"/>
  <c r="F20" i="15"/>
  <c r="F19" i="15"/>
  <c r="F18" i="15"/>
  <c r="F17" i="15"/>
  <c r="F16" i="15"/>
  <c r="F15" i="15"/>
  <c r="F13" i="15"/>
  <c r="F12" i="15"/>
  <c r="F11" i="15"/>
  <c r="F10" i="15"/>
  <c r="F9" i="15"/>
  <c r="F8" i="15"/>
  <c r="F7" i="15"/>
  <c r="F6" i="15"/>
  <c r="F5" i="15"/>
  <c r="F4" i="15"/>
  <c r="G20" i="14"/>
  <c r="G19" i="14"/>
  <c r="G18" i="14"/>
  <c r="G17" i="14"/>
  <c r="G15" i="14"/>
  <c r="F15" i="14"/>
  <c r="G14" i="14"/>
  <c r="F14" i="14"/>
  <c r="G13" i="14"/>
  <c r="F13" i="14"/>
  <c r="G12" i="14"/>
  <c r="F12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G4" i="14"/>
  <c r="F4" i="14"/>
  <c r="F115" i="15"/>
  <c r="F114" i="15"/>
  <c r="F113" i="15"/>
  <c r="F112" i="15"/>
  <c r="F111" i="15"/>
  <c r="F110" i="15"/>
  <c r="F109" i="15"/>
  <c r="F107" i="15"/>
  <c r="F106" i="15"/>
  <c r="F105" i="15"/>
  <c r="F104" i="15"/>
  <c r="F103" i="15"/>
  <c r="F102" i="15"/>
  <c r="F101" i="15"/>
  <c r="F99" i="15"/>
  <c r="F98" i="15"/>
  <c r="F97" i="15"/>
  <c r="F96" i="15"/>
  <c r="F95" i="15"/>
  <c r="F94" i="15"/>
  <c r="F93" i="15"/>
  <c r="F91" i="15"/>
  <c r="F90" i="15"/>
  <c r="F89" i="15"/>
  <c r="F88" i="15"/>
  <c r="F87" i="15"/>
  <c r="F86" i="15"/>
  <c r="F85" i="15"/>
  <c r="F83" i="15"/>
  <c r="F82" i="15"/>
  <c r="F81" i="15"/>
  <c r="F80" i="15"/>
  <c r="F78" i="15"/>
  <c r="F77" i="15"/>
  <c r="F76" i="15"/>
  <c r="F75" i="15"/>
  <c r="F73" i="15"/>
  <c r="F72" i="15"/>
  <c r="F71" i="15"/>
  <c r="F70" i="15"/>
  <c r="F68" i="15"/>
  <c r="F67" i="15"/>
  <c r="F66" i="15"/>
  <c r="F65" i="15"/>
  <c r="F64" i="15"/>
  <c r="F63" i="15"/>
  <c r="F62" i="15"/>
  <c r="F61" i="15"/>
  <c r="F60" i="15"/>
  <c r="F59" i="15"/>
  <c r="F57" i="15"/>
  <c r="F56" i="15"/>
  <c r="F55" i="15"/>
  <c r="F54" i="15"/>
  <c r="F53" i="15"/>
  <c r="F52" i="15"/>
  <c r="F51" i="15"/>
  <c r="F50" i="15"/>
  <c r="F49" i="15"/>
  <c r="F48" i="15"/>
  <c r="F46" i="15"/>
  <c r="F45" i="15"/>
  <c r="F44" i="15"/>
  <c r="F43" i="15"/>
  <c r="F42" i="15"/>
  <c r="F41" i="15"/>
  <c r="F40" i="15"/>
  <c r="F39" i="15"/>
  <c r="F38" i="15"/>
  <c r="F37" i="15"/>
  <c r="F35" i="15"/>
  <c r="F34" i="15"/>
  <c r="F33" i="15"/>
  <c r="F32" i="15"/>
  <c r="F31" i="15"/>
  <c r="F30" i="15"/>
  <c r="F29" i="15"/>
  <c r="F28" i="15"/>
  <c r="F27" i="15"/>
  <c r="F26" i="15"/>
  <c r="F24" i="15"/>
  <c r="G55" i="27"/>
  <c r="G54" i="27"/>
  <c r="G53" i="27"/>
  <c r="G52" i="27"/>
  <c r="G51" i="27"/>
  <c r="G50" i="27"/>
  <c r="G49" i="27"/>
  <c r="G48" i="27"/>
  <c r="E48" i="27"/>
  <c r="G47" i="27"/>
  <c r="E47" i="27"/>
  <c r="G46" i="27"/>
  <c r="F46" i="27"/>
  <c r="E46" i="27"/>
  <c r="D46" i="27"/>
  <c r="C46" i="27"/>
  <c r="B46" i="27"/>
  <c r="G45" i="27"/>
  <c r="F45" i="27"/>
  <c r="E45" i="27"/>
  <c r="C45" i="27"/>
  <c r="B45" i="27"/>
  <c r="G44" i="27"/>
  <c r="F44" i="27"/>
  <c r="G43" i="27"/>
  <c r="F43" i="27"/>
  <c r="G42" i="27"/>
  <c r="F42" i="27"/>
  <c r="G41" i="27"/>
  <c r="F41" i="27"/>
  <c r="G40" i="27"/>
  <c r="F40" i="27"/>
  <c r="C39" i="27"/>
  <c r="C38" i="27"/>
  <c r="C37" i="27"/>
  <c r="C36" i="27"/>
  <c r="C35" i="27"/>
  <c r="C34" i="27"/>
  <c r="C29" i="27"/>
  <c r="C28" i="27"/>
  <c r="C27" i="27"/>
  <c r="C26" i="27"/>
  <c r="C25" i="27"/>
  <c r="C24" i="27"/>
  <c r="G23" i="27"/>
  <c r="E23" i="27"/>
  <c r="C23" i="27"/>
  <c r="G22" i="27"/>
  <c r="E22" i="27"/>
  <c r="C22" i="27"/>
  <c r="G21" i="27"/>
  <c r="E21" i="27"/>
  <c r="C21" i="27"/>
  <c r="G20" i="27"/>
  <c r="E20" i="27"/>
  <c r="C20" i="27"/>
  <c r="G19" i="27"/>
  <c r="E19" i="27"/>
  <c r="G18" i="27"/>
  <c r="E18" i="27"/>
  <c r="G17" i="27"/>
  <c r="E17" i="27"/>
  <c r="G10" i="27"/>
  <c r="E10" i="27"/>
  <c r="C10" i="27"/>
  <c r="G9" i="27"/>
  <c r="E9" i="27"/>
  <c r="C9" i="27"/>
  <c r="G8" i="27"/>
  <c r="E8" i="27"/>
  <c r="C8" i="27"/>
  <c r="G7" i="27"/>
  <c r="E7" i="27"/>
  <c r="C7" i="27"/>
  <c r="G6" i="27"/>
  <c r="E6" i="27"/>
  <c r="C6" i="27"/>
  <c r="G5" i="27"/>
  <c r="E5" i="27"/>
  <c r="C5" i="27"/>
  <c r="G4" i="27"/>
  <c r="E4" i="27"/>
  <c r="C4" i="27"/>
  <c r="C42" i="26"/>
  <c r="B42" i="26"/>
  <c r="C41" i="26"/>
  <c r="B41" i="26"/>
  <c r="C40" i="26"/>
  <c r="B40" i="26"/>
  <c r="C39" i="26"/>
  <c r="B39" i="26"/>
  <c r="C38" i="26"/>
  <c r="B38" i="26"/>
  <c r="C37" i="26"/>
  <c r="B37" i="26"/>
  <c r="C36" i="26"/>
  <c r="B36" i="26"/>
  <c r="C35" i="26"/>
  <c r="B35" i="26"/>
  <c r="C34" i="26"/>
  <c r="B34" i="26"/>
  <c r="C33" i="26"/>
  <c r="B33" i="26"/>
  <c r="C32" i="26"/>
  <c r="B32" i="26"/>
  <c r="C31" i="26"/>
  <c r="B31" i="26"/>
  <c r="C30" i="26"/>
  <c r="B30" i="26"/>
  <c r="C29" i="26"/>
  <c r="B29" i="26"/>
  <c r="C28" i="26"/>
  <c r="B28" i="26"/>
  <c r="C27" i="26"/>
  <c r="B27" i="26"/>
  <c r="C26" i="26"/>
  <c r="B26" i="26"/>
  <c r="C25" i="26"/>
  <c r="B25" i="26"/>
  <c r="C24" i="26"/>
  <c r="B24" i="26"/>
  <c r="C23" i="26"/>
  <c r="B23" i="26"/>
  <c r="C22" i="26"/>
  <c r="B22" i="26"/>
  <c r="C21" i="26"/>
  <c r="B21" i="26"/>
  <c r="C20" i="26"/>
  <c r="B20" i="26"/>
  <c r="C19" i="26"/>
  <c r="B19" i="26"/>
  <c r="C18" i="26"/>
  <c r="B18" i="26"/>
  <c r="C17" i="26"/>
  <c r="B17" i="26"/>
  <c r="C16" i="26"/>
  <c r="B16" i="26"/>
  <c r="C15" i="26"/>
  <c r="B15" i="26"/>
  <c r="C14" i="26"/>
  <c r="B14" i="26"/>
  <c r="C13" i="26"/>
  <c r="B13" i="26"/>
  <c r="C12" i="26"/>
  <c r="B12" i="26"/>
  <c r="C11" i="26"/>
  <c r="B11" i="26"/>
  <c r="C10" i="26"/>
  <c r="B10" i="26"/>
  <c r="C9" i="26"/>
  <c r="B9" i="26"/>
  <c r="C8" i="26"/>
  <c r="B8" i="26"/>
  <c r="C7" i="26"/>
  <c r="B7" i="26"/>
  <c r="C6" i="26"/>
  <c r="B6" i="26"/>
  <c r="C5" i="26"/>
  <c r="C4" i="26"/>
  <c r="C3" i="26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C66" i="25"/>
  <c r="B66" i="25"/>
  <c r="C65" i="25"/>
  <c r="B65" i="25"/>
  <c r="C64" i="25"/>
  <c r="B64" i="25"/>
  <c r="C63" i="25"/>
  <c r="B63" i="25"/>
  <c r="C62" i="25"/>
  <c r="B62" i="25"/>
  <c r="C61" i="25"/>
  <c r="B61" i="25"/>
  <c r="C60" i="25"/>
  <c r="B60" i="25"/>
  <c r="C59" i="25"/>
  <c r="B59" i="25"/>
  <c r="C58" i="25"/>
  <c r="B58" i="25"/>
  <c r="C57" i="25"/>
  <c r="B57" i="25"/>
  <c r="C56" i="25"/>
  <c r="B56" i="25"/>
  <c r="C55" i="25"/>
  <c r="B55" i="25"/>
  <c r="C54" i="25"/>
  <c r="B54" i="25"/>
  <c r="C53" i="25"/>
  <c r="B53" i="25"/>
  <c r="C52" i="25"/>
  <c r="B52" i="25"/>
  <c r="C51" i="25"/>
  <c r="B51" i="25"/>
  <c r="C50" i="25"/>
  <c r="B50" i="25"/>
  <c r="C49" i="25"/>
  <c r="B49" i="25"/>
  <c r="C48" i="25"/>
  <c r="B48" i="25"/>
  <c r="C47" i="25"/>
  <c r="B47" i="25"/>
  <c r="D45" i="25"/>
  <c r="C45" i="25"/>
  <c r="B45" i="25"/>
  <c r="D44" i="25"/>
  <c r="C44" i="25"/>
  <c r="B44" i="25"/>
  <c r="D43" i="25"/>
  <c r="C43" i="25"/>
  <c r="B43" i="25"/>
  <c r="D42" i="25"/>
  <c r="C42" i="25"/>
  <c r="B42" i="25"/>
  <c r="D41" i="25"/>
  <c r="C41" i="25"/>
  <c r="B41" i="25"/>
  <c r="D40" i="25"/>
  <c r="C40" i="25"/>
  <c r="B40" i="25"/>
  <c r="D39" i="25"/>
  <c r="C39" i="25"/>
  <c r="B39" i="25"/>
  <c r="D38" i="25"/>
  <c r="C38" i="25"/>
  <c r="B38" i="25"/>
  <c r="D37" i="25"/>
  <c r="C37" i="25"/>
  <c r="B37" i="25"/>
  <c r="D36" i="25"/>
  <c r="C36" i="25"/>
  <c r="B36" i="25"/>
  <c r="D35" i="25"/>
  <c r="C35" i="25"/>
  <c r="B35" i="25"/>
  <c r="D34" i="25"/>
  <c r="C34" i="25"/>
  <c r="B34" i="25"/>
  <c r="D33" i="25"/>
  <c r="C33" i="25"/>
  <c r="B33" i="25"/>
  <c r="D32" i="25"/>
  <c r="C32" i="25"/>
  <c r="B32" i="25"/>
  <c r="D31" i="25"/>
  <c r="C31" i="25"/>
  <c r="B31" i="25"/>
  <c r="D30" i="25"/>
  <c r="C30" i="25"/>
  <c r="B30" i="25"/>
  <c r="D29" i="25"/>
  <c r="C29" i="25"/>
  <c r="B29" i="25"/>
  <c r="D28" i="25"/>
  <c r="C28" i="25"/>
  <c r="B28" i="25"/>
  <c r="D27" i="25"/>
  <c r="C27" i="25"/>
  <c r="B27" i="25"/>
  <c r="D26" i="25"/>
  <c r="C26" i="25"/>
  <c r="B26" i="25"/>
  <c r="D25" i="25"/>
  <c r="C25" i="25"/>
  <c r="B25" i="25"/>
  <c r="D24" i="25"/>
  <c r="C24" i="25"/>
  <c r="B24" i="25"/>
  <c r="D23" i="25"/>
  <c r="C23" i="25"/>
  <c r="B23" i="25"/>
  <c r="D22" i="25"/>
  <c r="C22" i="25"/>
  <c r="B22" i="25"/>
  <c r="D21" i="25"/>
  <c r="C21" i="25"/>
  <c r="B21" i="25"/>
  <c r="D20" i="25"/>
  <c r="C20" i="25"/>
  <c r="B20" i="25"/>
  <c r="D19" i="25"/>
  <c r="C19" i="25"/>
  <c r="B19" i="25"/>
  <c r="D18" i="25"/>
  <c r="C18" i="25"/>
  <c r="B18" i="25"/>
  <c r="D17" i="25"/>
  <c r="C17" i="25"/>
  <c r="B17" i="25"/>
  <c r="D16" i="25"/>
  <c r="C16" i="25"/>
  <c r="B16" i="25"/>
  <c r="D15" i="25"/>
  <c r="C15" i="25"/>
  <c r="B15" i="25"/>
  <c r="D14" i="25"/>
  <c r="C14" i="25"/>
  <c r="B14" i="25"/>
  <c r="D13" i="25"/>
  <c r="C13" i="25"/>
  <c r="B13" i="25"/>
  <c r="D12" i="25"/>
  <c r="C12" i="25"/>
  <c r="B12" i="25"/>
  <c r="D11" i="25"/>
  <c r="C11" i="25"/>
  <c r="B11" i="25"/>
  <c r="D10" i="25"/>
  <c r="C10" i="25"/>
  <c r="B10" i="25"/>
  <c r="D9" i="25"/>
  <c r="C9" i="25"/>
  <c r="B9" i="25"/>
  <c r="D8" i="25"/>
  <c r="C8" i="25"/>
  <c r="B8" i="25"/>
  <c r="D7" i="25"/>
  <c r="C7" i="25"/>
  <c r="B7" i="25"/>
  <c r="D6" i="25"/>
  <c r="C6" i="25"/>
  <c r="B6" i="25"/>
  <c r="D5" i="25"/>
  <c r="C5" i="25"/>
  <c r="B5" i="25"/>
  <c r="D4" i="25"/>
  <c r="C4" i="25"/>
  <c r="B4" i="25"/>
  <c r="D3" i="25"/>
  <c r="C3" i="25"/>
  <c r="B3" i="25"/>
  <c r="C676" i="24"/>
  <c r="C675" i="24"/>
  <c r="C674" i="24"/>
  <c r="C673" i="24"/>
  <c r="C672" i="24"/>
  <c r="C671" i="24"/>
  <c r="C670" i="24"/>
  <c r="C669" i="24"/>
  <c r="C668" i="24"/>
  <c r="C667" i="24"/>
  <c r="C666" i="24"/>
  <c r="C665" i="24"/>
  <c r="C664" i="24"/>
  <c r="C663" i="24"/>
  <c r="C662" i="24"/>
  <c r="C661" i="24"/>
  <c r="C660" i="24"/>
  <c r="C659" i="24"/>
  <c r="C658" i="24"/>
  <c r="C657" i="24"/>
  <c r="C656" i="24"/>
  <c r="C655" i="24"/>
  <c r="C654" i="24"/>
  <c r="C653" i="24"/>
  <c r="C652" i="24"/>
  <c r="C651" i="24"/>
  <c r="C650" i="24"/>
  <c r="C649" i="24"/>
  <c r="C648" i="24"/>
  <c r="C647" i="24"/>
  <c r="C646" i="24"/>
  <c r="C645" i="24"/>
  <c r="C644" i="24"/>
  <c r="C643" i="24"/>
  <c r="C642" i="24"/>
  <c r="C641" i="24"/>
  <c r="C640" i="24"/>
  <c r="C639" i="24"/>
  <c r="C638" i="24"/>
  <c r="C637" i="24"/>
  <c r="C636" i="24"/>
  <c r="C635" i="24"/>
  <c r="C634" i="24"/>
  <c r="C633" i="24"/>
  <c r="C632" i="24"/>
  <c r="C631" i="24"/>
  <c r="J630" i="24"/>
  <c r="J629" i="24"/>
  <c r="E629" i="24"/>
  <c r="D629" i="24"/>
  <c r="C629" i="24"/>
  <c r="B629" i="24"/>
  <c r="J628" i="24"/>
  <c r="E628" i="24"/>
  <c r="D628" i="24"/>
  <c r="C628" i="24"/>
  <c r="B628" i="24"/>
  <c r="J627" i="24"/>
  <c r="E627" i="24"/>
  <c r="D627" i="24"/>
  <c r="C627" i="24"/>
  <c r="B627" i="24"/>
  <c r="J626" i="24"/>
  <c r="E626" i="24"/>
  <c r="D626" i="24"/>
  <c r="C626" i="24"/>
  <c r="B626" i="24"/>
  <c r="J625" i="24"/>
  <c r="E625" i="24"/>
  <c r="D625" i="24"/>
  <c r="C625" i="24"/>
  <c r="B625" i="24"/>
  <c r="J624" i="24"/>
  <c r="E624" i="24"/>
  <c r="D624" i="24"/>
  <c r="C624" i="24"/>
  <c r="B624" i="24"/>
  <c r="J623" i="24"/>
  <c r="E623" i="24"/>
  <c r="D623" i="24"/>
  <c r="C623" i="24"/>
  <c r="B623" i="24"/>
  <c r="J622" i="24"/>
  <c r="E622" i="24"/>
  <c r="D622" i="24"/>
  <c r="C622" i="24"/>
  <c r="B622" i="24"/>
  <c r="C621" i="24"/>
  <c r="C620" i="24"/>
  <c r="C619" i="24"/>
  <c r="C618" i="24"/>
  <c r="C617" i="24"/>
  <c r="C616" i="24"/>
  <c r="C615" i="24"/>
  <c r="C614" i="24"/>
  <c r="C613" i="24"/>
  <c r="E613" i="24"/>
  <c r="C612" i="24"/>
  <c r="C611" i="24"/>
  <c r="C610" i="24"/>
  <c r="C609" i="24"/>
  <c r="C608" i="24"/>
  <c r="C607" i="24"/>
  <c r="J606" i="24"/>
  <c r="E606" i="24"/>
  <c r="D606" i="24"/>
  <c r="B606" i="24"/>
  <c r="C605" i="24"/>
  <c r="C604" i="24"/>
  <c r="C603" i="24"/>
  <c r="C602" i="24"/>
  <c r="C601" i="24"/>
  <c r="C600" i="24"/>
  <c r="C599" i="24"/>
  <c r="C598" i="24"/>
  <c r="C597" i="24"/>
  <c r="C596" i="24"/>
  <c r="C595" i="24"/>
  <c r="C594" i="24"/>
  <c r="C593" i="24"/>
  <c r="C592" i="24"/>
  <c r="C591" i="24"/>
  <c r="C590" i="24"/>
  <c r="C589" i="24"/>
  <c r="C588" i="24"/>
  <c r="C587" i="24"/>
  <c r="C586" i="24"/>
  <c r="C585" i="24"/>
  <c r="C584" i="24"/>
  <c r="C583" i="24"/>
  <c r="C582" i="24"/>
  <c r="C581" i="24"/>
  <c r="C580" i="24"/>
  <c r="C579" i="24"/>
  <c r="C578" i="24"/>
  <c r="C577" i="24"/>
  <c r="C576" i="24"/>
  <c r="C575" i="24"/>
  <c r="C574" i="24"/>
  <c r="C573" i="24"/>
  <c r="C572" i="24"/>
  <c r="C571" i="24"/>
  <c r="C570" i="24"/>
  <c r="C569" i="24"/>
  <c r="C568" i="24"/>
  <c r="C567" i="24"/>
  <c r="C566" i="24"/>
  <c r="C565" i="24"/>
  <c r="C564" i="24"/>
  <c r="C563" i="24"/>
  <c r="C562" i="24"/>
  <c r="C561" i="24"/>
  <c r="C560" i="24"/>
  <c r="C559" i="24"/>
  <c r="C558" i="24"/>
  <c r="C557" i="24"/>
  <c r="C556" i="24"/>
  <c r="C555" i="24"/>
  <c r="C554" i="24"/>
  <c r="C553" i="24"/>
  <c r="C552" i="24"/>
  <c r="C551" i="24"/>
  <c r="C550" i="24"/>
  <c r="C549" i="24"/>
  <c r="C548" i="24"/>
  <c r="C547" i="24"/>
  <c r="C546" i="24"/>
  <c r="C545" i="24"/>
  <c r="C544" i="24"/>
  <c r="C543" i="24"/>
  <c r="C542" i="24"/>
  <c r="C541" i="24"/>
  <c r="C540" i="24"/>
  <c r="C539" i="24"/>
  <c r="C538" i="24"/>
  <c r="C537" i="24"/>
  <c r="C536" i="24"/>
  <c r="C535" i="24"/>
  <c r="C534" i="24"/>
  <c r="C533" i="24"/>
  <c r="C532" i="24"/>
  <c r="C531" i="24"/>
  <c r="C530" i="24"/>
  <c r="C529" i="24"/>
  <c r="C528" i="24"/>
  <c r="C527" i="24"/>
  <c r="C526" i="24"/>
  <c r="C525" i="24"/>
  <c r="C524" i="24"/>
  <c r="C523" i="24"/>
  <c r="C522" i="24"/>
  <c r="C521" i="24"/>
  <c r="C520" i="24"/>
  <c r="C519" i="24"/>
  <c r="C518" i="24"/>
  <c r="C517" i="24"/>
  <c r="C516" i="24"/>
  <c r="C515" i="24"/>
  <c r="C514" i="24"/>
  <c r="C513" i="24"/>
  <c r="C512" i="24"/>
  <c r="C511" i="24"/>
  <c r="C510" i="24"/>
  <c r="C509" i="24"/>
  <c r="C508" i="24"/>
  <c r="C507" i="24"/>
  <c r="C506" i="24"/>
  <c r="C505" i="24"/>
  <c r="C504" i="24"/>
  <c r="C503" i="24"/>
  <c r="C502" i="24"/>
  <c r="C501" i="24"/>
  <c r="C500" i="24"/>
  <c r="H500" i="24"/>
  <c r="C499" i="24"/>
  <c r="C498" i="24"/>
  <c r="H498" i="24" s="1"/>
  <c r="C497" i="24"/>
  <c r="C496" i="24"/>
  <c r="H496" i="24" s="1"/>
  <c r="C495" i="24"/>
  <c r="C494" i="24"/>
  <c r="H494" i="24" s="1"/>
  <c r="C493" i="24"/>
  <c r="C492" i="24"/>
  <c r="H492" i="24"/>
  <c r="C491" i="24"/>
  <c r="C490" i="24"/>
  <c r="H490" i="24" s="1"/>
  <c r="C489" i="24"/>
  <c r="C488" i="24"/>
  <c r="H488" i="24" s="1"/>
  <c r="C487" i="24"/>
  <c r="C486" i="24"/>
  <c r="H486" i="24" s="1"/>
  <c r="C485" i="24"/>
  <c r="C484" i="24"/>
  <c r="H484" i="24"/>
  <c r="C483" i="24"/>
  <c r="C482" i="24"/>
  <c r="H482" i="24" s="1"/>
  <c r="C481" i="24"/>
  <c r="C480" i="24"/>
  <c r="H480" i="24" s="1"/>
  <c r="C479" i="24"/>
  <c r="C478" i="24"/>
  <c r="H478" i="24" s="1"/>
  <c r="C477" i="24"/>
  <c r="C476" i="24"/>
  <c r="H476" i="24"/>
  <c r="C475" i="24"/>
  <c r="C474" i="24"/>
  <c r="H474" i="24" s="1"/>
  <c r="C473" i="24"/>
  <c r="C472" i="24"/>
  <c r="H472" i="24" s="1"/>
  <c r="C471" i="24"/>
  <c r="C470" i="24"/>
  <c r="H470" i="24" s="1"/>
  <c r="C469" i="24"/>
  <c r="C468" i="24"/>
  <c r="H468" i="24"/>
  <c r="C467" i="24"/>
  <c r="C466" i="24"/>
  <c r="B466" i="24" s="1"/>
  <c r="C465" i="24"/>
  <c r="H465" i="24" s="1"/>
  <c r="C464" i="24"/>
  <c r="C463" i="24"/>
  <c r="H463" i="24" s="1"/>
  <c r="C462" i="24"/>
  <c r="C461" i="24"/>
  <c r="H461" i="24"/>
  <c r="C460" i="24"/>
  <c r="C458" i="24"/>
  <c r="H458" i="24" s="1"/>
  <c r="C457" i="24"/>
  <c r="C456" i="24"/>
  <c r="H456" i="24"/>
  <c r="C455" i="24"/>
  <c r="C454" i="24"/>
  <c r="H454" i="24" s="1"/>
  <c r="C453" i="24"/>
  <c r="C452" i="24"/>
  <c r="H452" i="24" s="1"/>
  <c r="C451" i="24"/>
  <c r="C450" i="24"/>
  <c r="H450" i="24" s="1"/>
  <c r="C449" i="24"/>
  <c r="C448" i="24"/>
  <c r="H448" i="24"/>
  <c r="C447" i="24"/>
  <c r="C446" i="24"/>
  <c r="H446" i="24" s="1"/>
  <c r="C445" i="24"/>
  <c r="C444" i="24"/>
  <c r="H444" i="24"/>
  <c r="C443" i="24"/>
  <c r="C442" i="24"/>
  <c r="H442" i="24" s="1"/>
  <c r="C441" i="24"/>
  <c r="C440" i="24"/>
  <c r="H440" i="24"/>
  <c r="C439" i="24"/>
  <c r="C438" i="24"/>
  <c r="H438" i="24" s="1"/>
  <c r="C437" i="24"/>
  <c r="C436" i="24"/>
  <c r="H436" i="24" s="1"/>
  <c r="C435" i="24"/>
  <c r="C434" i="24"/>
  <c r="H434" i="24" s="1"/>
  <c r="C433" i="24"/>
  <c r="C432" i="24"/>
  <c r="H432" i="24" s="1"/>
  <c r="C431" i="24"/>
  <c r="C430" i="24"/>
  <c r="H430" i="24" s="1"/>
  <c r="C429" i="24"/>
  <c r="C428" i="24"/>
  <c r="H428" i="24" s="1"/>
  <c r="C427" i="24"/>
  <c r="C426" i="24"/>
  <c r="H426" i="24" s="1"/>
  <c r="C425" i="24"/>
  <c r="C424" i="24"/>
  <c r="H424" i="24" s="1"/>
  <c r="C423" i="24"/>
  <c r="C422" i="24"/>
  <c r="H422" i="24" s="1"/>
  <c r="C421" i="24"/>
  <c r="C420" i="24"/>
  <c r="H420" i="24" s="1"/>
  <c r="C419" i="24"/>
  <c r="C418" i="24"/>
  <c r="H418" i="24"/>
  <c r="C417" i="24"/>
  <c r="C416" i="24"/>
  <c r="H416" i="24" s="1"/>
  <c r="C415" i="24"/>
  <c r="C414" i="24"/>
  <c r="H414" i="24" s="1"/>
  <c r="C413" i="24"/>
  <c r="C412" i="24"/>
  <c r="H412" i="24" s="1"/>
  <c r="C411" i="24"/>
  <c r="C410" i="24"/>
  <c r="H410" i="24" s="1"/>
  <c r="C409" i="24"/>
  <c r="C408" i="24"/>
  <c r="H408" i="24" s="1"/>
  <c r="C407" i="24"/>
  <c r="C406" i="24"/>
  <c r="H406" i="24"/>
  <c r="C405" i="24"/>
  <c r="C404" i="24"/>
  <c r="H404" i="24" s="1"/>
  <c r="C403" i="24"/>
  <c r="C402" i="24"/>
  <c r="H402" i="24" s="1"/>
  <c r="C401" i="24"/>
  <c r="C400" i="24"/>
  <c r="H400" i="24" s="1"/>
  <c r="C399" i="24"/>
  <c r="C398" i="24"/>
  <c r="H398" i="24"/>
  <c r="C397" i="24"/>
  <c r="C396" i="24"/>
  <c r="H396" i="24" s="1"/>
  <c r="C395" i="24"/>
  <c r="C394" i="24"/>
  <c r="H394" i="24" s="1"/>
  <c r="C393" i="24"/>
  <c r="C392" i="24"/>
  <c r="H392" i="24" s="1"/>
  <c r="C391" i="24"/>
  <c r="C390" i="24"/>
  <c r="H390" i="24"/>
  <c r="C389" i="24"/>
  <c r="C388" i="24"/>
  <c r="H388" i="24" s="1"/>
  <c r="C387" i="24"/>
  <c r="C386" i="24"/>
  <c r="H386" i="24" s="1"/>
  <c r="C385" i="24"/>
  <c r="J385" i="24"/>
  <c r="C384" i="24"/>
  <c r="E384" i="24" s="1"/>
  <c r="C383" i="24"/>
  <c r="J383" i="24"/>
  <c r="C382" i="24"/>
  <c r="E382" i="24" s="1"/>
  <c r="C381" i="24"/>
  <c r="J381" i="24"/>
  <c r="C380" i="24"/>
  <c r="E380" i="24" s="1"/>
  <c r="C379" i="24"/>
  <c r="J379" i="24" s="1"/>
  <c r="C378" i="24"/>
  <c r="C377" i="24"/>
  <c r="C376" i="24"/>
  <c r="C375" i="24"/>
  <c r="C374" i="24"/>
  <c r="C373" i="24"/>
  <c r="C372" i="24"/>
  <c r="C371" i="24"/>
  <c r="C370" i="24"/>
  <c r="C369" i="24"/>
  <c r="C368" i="24"/>
  <c r="C367" i="24"/>
  <c r="C366" i="24"/>
  <c r="C365" i="24"/>
  <c r="C364" i="24"/>
  <c r="C363" i="24"/>
  <c r="C362" i="24"/>
  <c r="C361" i="24"/>
  <c r="C360" i="24"/>
  <c r="C359" i="24"/>
  <c r="D359" i="24" s="1"/>
  <c r="I359" i="24" s="1"/>
  <c r="C358" i="24"/>
  <c r="D358" i="24"/>
  <c r="I358" i="24" s="1"/>
  <c r="C357" i="24"/>
  <c r="D357" i="24" s="1"/>
  <c r="I357" i="24" s="1"/>
  <c r="C356" i="24"/>
  <c r="D356" i="24"/>
  <c r="I356" i="24" s="1"/>
  <c r="C355" i="24"/>
  <c r="D355" i="24" s="1"/>
  <c r="I355" i="24" s="1"/>
  <c r="C354" i="24"/>
  <c r="D354" i="24"/>
  <c r="I354" i="24" s="1"/>
  <c r="C353" i="24"/>
  <c r="D353" i="24" s="1"/>
  <c r="I353" i="24" s="1"/>
  <c r="C352" i="24"/>
  <c r="D352" i="24"/>
  <c r="I352" i="24" s="1"/>
  <c r="C351" i="24"/>
  <c r="D351" i="24" s="1"/>
  <c r="I351" i="24" s="1"/>
  <c r="C350" i="24"/>
  <c r="D350" i="24"/>
  <c r="I350" i="24" s="1"/>
  <c r="C349" i="24"/>
  <c r="D349" i="24" s="1"/>
  <c r="I349" i="24" s="1"/>
  <c r="C348" i="24"/>
  <c r="D348" i="24"/>
  <c r="I348" i="24" s="1"/>
  <c r="C347" i="24"/>
  <c r="D347" i="24" s="1"/>
  <c r="I347" i="24" s="1"/>
  <c r="C346" i="24"/>
  <c r="D346" i="24"/>
  <c r="I346" i="24" s="1"/>
  <c r="C345" i="24"/>
  <c r="J345" i="24" s="1"/>
  <c r="C344" i="24"/>
  <c r="D344" i="24" s="1"/>
  <c r="I344" i="24" s="1"/>
  <c r="C343" i="24"/>
  <c r="D343" i="24"/>
  <c r="I343" i="24" s="1"/>
  <c r="C342" i="24"/>
  <c r="D342" i="24" s="1"/>
  <c r="I342" i="24" s="1"/>
  <c r="C341" i="24"/>
  <c r="D341" i="24"/>
  <c r="I341" i="24" s="1"/>
  <c r="C340" i="24"/>
  <c r="D340" i="24" s="1"/>
  <c r="I340" i="24" s="1"/>
  <c r="C339" i="24"/>
  <c r="D339" i="24" s="1"/>
  <c r="I339" i="24" s="1"/>
  <c r="C338" i="24"/>
  <c r="D338" i="24" s="1"/>
  <c r="I338" i="24" s="1"/>
  <c r="C337" i="24"/>
  <c r="D337" i="24" s="1"/>
  <c r="I337" i="24" s="1"/>
  <c r="C336" i="24"/>
  <c r="D336" i="24"/>
  <c r="I336" i="24" s="1"/>
  <c r="C335" i="24"/>
  <c r="J335" i="24" s="1"/>
  <c r="C334" i="24"/>
  <c r="D334" i="24" s="1"/>
  <c r="I334" i="24" s="1"/>
  <c r="C333" i="24"/>
  <c r="D333" i="24"/>
  <c r="I333" i="24" s="1"/>
  <c r="C332" i="24"/>
  <c r="D332" i="24" s="1"/>
  <c r="I332" i="24" s="1"/>
  <c r="C331" i="24"/>
  <c r="D331" i="24"/>
  <c r="I331" i="24" s="1"/>
  <c r="C330" i="24"/>
  <c r="C329" i="24"/>
  <c r="H329" i="24" s="1"/>
  <c r="C328" i="24"/>
  <c r="H328" i="24"/>
  <c r="C327" i="24"/>
  <c r="H327" i="24" s="1"/>
  <c r="C326" i="24"/>
  <c r="H326" i="24"/>
  <c r="C325" i="24"/>
  <c r="H325" i="24" s="1"/>
  <c r="C324" i="24"/>
  <c r="H324" i="24" s="1"/>
  <c r="C323" i="24"/>
  <c r="H323" i="24" s="1"/>
  <c r="C322" i="24"/>
  <c r="H322" i="24" s="1"/>
  <c r="C321" i="24"/>
  <c r="H321" i="24" s="1"/>
  <c r="C320" i="24"/>
  <c r="H320" i="24" s="1"/>
  <c r="C319" i="24"/>
  <c r="H319" i="24" s="1"/>
  <c r="C318" i="24"/>
  <c r="H318" i="24" s="1"/>
  <c r="C317" i="24"/>
  <c r="H317" i="24" s="1"/>
  <c r="C316" i="24"/>
  <c r="H316" i="24" s="1"/>
  <c r="C315" i="24"/>
  <c r="H315" i="24" s="1"/>
  <c r="C314" i="24"/>
  <c r="H314" i="24" s="1"/>
  <c r="C313" i="24"/>
  <c r="H313" i="24" s="1"/>
  <c r="C312" i="24"/>
  <c r="H312" i="24" s="1"/>
  <c r="C311" i="24"/>
  <c r="H311" i="24" s="1"/>
  <c r="C310" i="24"/>
  <c r="H310" i="24" s="1"/>
  <c r="C309" i="24"/>
  <c r="H309" i="24" s="1"/>
  <c r="C308" i="24"/>
  <c r="H308" i="24" s="1"/>
  <c r="C307" i="24"/>
  <c r="H307" i="24" s="1"/>
  <c r="C306" i="24"/>
  <c r="H306" i="24" s="1"/>
  <c r="C305" i="24"/>
  <c r="H305" i="24" s="1"/>
  <c r="C304" i="24"/>
  <c r="H304" i="24" s="1"/>
  <c r="C303" i="24"/>
  <c r="H303" i="24" s="1"/>
  <c r="C302" i="24"/>
  <c r="H302" i="24" s="1"/>
  <c r="C301" i="24"/>
  <c r="H301" i="24" s="1"/>
  <c r="C300" i="24"/>
  <c r="H300" i="24" s="1"/>
  <c r="C299" i="24"/>
  <c r="H299" i="24" s="1"/>
  <c r="C298" i="24"/>
  <c r="H298" i="24" s="1"/>
  <c r="C297" i="24"/>
  <c r="H297" i="24" s="1"/>
  <c r="C296" i="24"/>
  <c r="H296" i="24" s="1"/>
  <c r="C295" i="24"/>
  <c r="H295" i="24" s="1"/>
  <c r="C294" i="24"/>
  <c r="H294" i="24" s="1"/>
  <c r="C293" i="24"/>
  <c r="H293" i="24" s="1"/>
  <c r="C292" i="24"/>
  <c r="H292" i="24" s="1"/>
  <c r="C291" i="24"/>
  <c r="H291" i="24" s="1"/>
  <c r="C290" i="24"/>
  <c r="H290" i="24" s="1"/>
  <c r="C289" i="24"/>
  <c r="H289" i="24" s="1"/>
  <c r="C288" i="24"/>
  <c r="H288" i="24" s="1"/>
  <c r="C287" i="24"/>
  <c r="H287" i="24" s="1"/>
  <c r="C286" i="24"/>
  <c r="H286" i="24" s="1"/>
  <c r="C285" i="24"/>
  <c r="H285" i="24" s="1"/>
  <c r="C284" i="24"/>
  <c r="H284" i="24" s="1"/>
  <c r="C283" i="24"/>
  <c r="H283" i="24" s="1"/>
  <c r="C282" i="24"/>
  <c r="H282" i="24" s="1"/>
  <c r="C281" i="24"/>
  <c r="H281" i="24" s="1"/>
  <c r="C280" i="24"/>
  <c r="H280" i="24" s="1"/>
  <c r="C279" i="24"/>
  <c r="H279" i="24" s="1"/>
  <c r="C278" i="24"/>
  <c r="H278" i="24" s="1"/>
  <c r="C277" i="24"/>
  <c r="H277" i="24" s="1"/>
  <c r="C276" i="24"/>
  <c r="H276" i="24" s="1"/>
  <c r="C275" i="24"/>
  <c r="H275" i="24" s="1"/>
  <c r="C274" i="24"/>
  <c r="H274" i="24" s="1"/>
  <c r="C273" i="24"/>
  <c r="H273" i="24" s="1"/>
  <c r="C272" i="24"/>
  <c r="H272" i="24" s="1"/>
  <c r="C271" i="24"/>
  <c r="H271" i="24" s="1"/>
  <c r="C270" i="24"/>
  <c r="H270" i="24" s="1"/>
  <c r="C269" i="24"/>
  <c r="H269" i="24" s="1"/>
  <c r="C268" i="24"/>
  <c r="H268" i="24" s="1"/>
  <c r="C267" i="24"/>
  <c r="H267" i="24" s="1"/>
  <c r="C266" i="24"/>
  <c r="H266" i="24" s="1"/>
  <c r="C265" i="24"/>
  <c r="H265" i="24" s="1"/>
  <c r="C264" i="24"/>
  <c r="H264" i="24" s="1"/>
  <c r="C263" i="24"/>
  <c r="H263" i="24" s="1"/>
  <c r="C262" i="24"/>
  <c r="H262" i="24" s="1"/>
  <c r="C261" i="24"/>
  <c r="H261" i="24" s="1"/>
  <c r="C260" i="24"/>
  <c r="H260" i="24" s="1"/>
  <c r="C259" i="24"/>
  <c r="H259" i="24" s="1"/>
  <c r="C258" i="24"/>
  <c r="H258" i="24" s="1"/>
  <c r="C257" i="24"/>
  <c r="H257" i="24" s="1"/>
  <c r="C256" i="24"/>
  <c r="H256" i="24" s="1"/>
  <c r="C255" i="24"/>
  <c r="H255" i="24" s="1"/>
  <c r="C254" i="24"/>
  <c r="H254" i="24" s="1"/>
  <c r="C253" i="24"/>
  <c r="H253" i="24" s="1"/>
  <c r="C252" i="24"/>
  <c r="H252" i="24" s="1"/>
  <c r="C251" i="24"/>
  <c r="H251" i="24" s="1"/>
  <c r="C250" i="24"/>
  <c r="H250" i="24" s="1"/>
  <c r="C249" i="24"/>
  <c r="H249" i="24" s="1"/>
  <c r="C248" i="24"/>
  <c r="H248" i="24" s="1"/>
  <c r="C247" i="24"/>
  <c r="H247" i="24" s="1"/>
  <c r="C246" i="24"/>
  <c r="H246" i="24" s="1"/>
  <c r="C245" i="24"/>
  <c r="H245" i="24" s="1"/>
  <c r="C244" i="24"/>
  <c r="H244" i="24" s="1"/>
  <c r="C243" i="24"/>
  <c r="H243" i="24" s="1"/>
  <c r="C242" i="24"/>
  <c r="H242" i="24" s="1"/>
  <c r="C241" i="24"/>
  <c r="H241" i="24" s="1"/>
  <c r="C240" i="24"/>
  <c r="H240" i="24" s="1"/>
  <c r="C239" i="24"/>
  <c r="H239" i="24" s="1"/>
  <c r="C238" i="24"/>
  <c r="H238" i="24" s="1"/>
  <c r="C237" i="24"/>
  <c r="H237" i="24" s="1"/>
  <c r="C236" i="24"/>
  <c r="H236" i="24" s="1"/>
  <c r="C235" i="24"/>
  <c r="H235" i="24" s="1"/>
  <c r="C234" i="24"/>
  <c r="H234" i="24" s="1"/>
  <c r="C233" i="24"/>
  <c r="H233" i="24" s="1"/>
  <c r="C232" i="24"/>
  <c r="H232" i="24" s="1"/>
  <c r="C231" i="24"/>
  <c r="H231" i="24" s="1"/>
  <c r="C230" i="24"/>
  <c r="H230" i="24" s="1"/>
  <c r="C229" i="24"/>
  <c r="H229" i="24" s="1"/>
  <c r="C228" i="24"/>
  <c r="H228" i="24" s="1"/>
  <c r="C227" i="24"/>
  <c r="H227" i="24" s="1"/>
  <c r="C226" i="24"/>
  <c r="H226" i="24" s="1"/>
  <c r="C225" i="24"/>
  <c r="H225" i="24" s="1"/>
  <c r="C224" i="24"/>
  <c r="H224" i="24" s="1"/>
  <c r="C223" i="24"/>
  <c r="H223" i="24" s="1"/>
  <c r="C222" i="24"/>
  <c r="H222" i="24"/>
  <c r="C221" i="24"/>
  <c r="H221" i="24" s="1"/>
  <c r="C220" i="24"/>
  <c r="H220" i="24"/>
  <c r="C219" i="24"/>
  <c r="H219" i="24" s="1"/>
  <c r="C218" i="24"/>
  <c r="H218" i="24"/>
  <c r="C217" i="24"/>
  <c r="H217" i="24" s="1"/>
  <c r="C216" i="24"/>
  <c r="H216" i="24"/>
  <c r="C215" i="24"/>
  <c r="H215" i="24" s="1"/>
  <c r="C214" i="24"/>
  <c r="H214" i="24"/>
  <c r="C213" i="24"/>
  <c r="H213" i="24" s="1"/>
  <c r="C212" i="24"/>
  <c r="H212" i="24"/>
  <c r="C211" i="24"/>
  <c r="H211" i="24" s="1"/>
  <c r="C210" i="24"/>
  <c r="H210" i="24"/>
  <c r="C209" i="24"/>
  <c r="H209" i="24" s="1"/>
  <c r="C208" i="24"/>
  <c r="H208" i="24"/>
  <c r="C207" i="24"/>
  <c r="H207" i="24" s="1"/>
  <c r="C206" i="24"/>
  <c r="H206" i="24"/>
  <c r="C205" i="24"/>
  <c r="H205" i="24" s="1"/>
  <c r="C204" i="24"/>
  <c r="H204" i="24"/>
  <c r="C203" i="24"/>
  <c r="H203" i="24" s="1"/>
  <c r="C202" i="24"/>
  <c r="H202" i="24"/>
  <c r="C201" i="24"/>
  <c r="H201" i="24" s="1"/>
  <c r="C200" i="24"/>
  <c r="H200" i="24"/>
  <c r="C199" i="24"/>
  <c r="H199" i="24" s="1"/>
  <c r="C198" i="24"/>
  <c r="H198" i="24"/>
  <c r="C197" i="24"/>
  <c r="H197" i="24" s="1"/>
  <c r="C196" i="24"/>
  <c r="H196" i="24"/>
  <c r="C195" i="24"/>
  <c r="H195" i="24" s="1"/>
  <c r="C194" i="24"/>
  <c r="H194" i="24"/>
  <c r="C193" i="24"/>
  <c r="H193" i="24" s="1"/>
  <c r="C192" i="24"/>
  <c r="H192" i="24"/>
  <c r="C191" i="24"/>
  <c r="H191" i="24" s="1"/>
  <c r="C190" i="24"/>
  <c r="H190" i="24"/>
  <c r="C189" i="24"/>
  <c r="H189" i="24" s="1"/>
  <c r="C188" i="24"/>
  <c r="H188" i="24"/>
  <c r="C187" i="24"/>
  <c r="H187" i="24" s="1"/>
  <c r="C186" i="24"/>
  <c r="H186" i="24"/>
  <c r="C185" i="24"/>
  <c r="H185" i="24" s="1"/>
  <c r="C184" i="24"/>
  <c r="H184" i="24"/>
  <c r="C183" i="24"/>
  <c r="H183" i="24" s="1"/>
  <c r="C182" i="24"/>
  <c r="H182" i="24"/>
  <c r="C181" i="24"/>
  <c r="H181" i="24" s="1"/>
  <c r="C180" i="24"/>
  <c r="H180" i="24"/>
  <c r="C179" i="24"/>
  <c r="H179" i="24" s="1"/>
  <c r="C178" i="24"/>
  <c r="H178" i="24"/>
  <c r="C177" i="24"/>
  <c r="H177" i="24" s="1"/>
  <c r="C176" i="24"/>
  <c r="H176" i="24"/>
  <c r="C175" i="24"/>
  <c r="H175" i="24" s="1"/>
  <c r="C174" i="24"/>
  <c r="H174" i="24"/>
  <c r="C173" i="24"/>
  <c r="H173" i="24" s="1"/>
  <c r="C172" i="24"/>
  <c r="H172" i="24"/>
  <c r="C171" i="24"/>
  <c r="H171" i="24" s="1"/>
  <c r="C170" i="24"/>
  <c r="H170" i="24"/>
  <c r="C169" i="24"/>
  <c r="H169" i="24" s="1"/>
  <c r="C168" i="24"/>
  <c r="H168" i="24"/>
  <c r="C167" i="24"/>
  <c r="H167" i="24" s="1"/>
  <c r="C166" i="24"/>
  <c r="H166" i="24"/>
  <c r="C165" i="24"/>
  <c r="H165" i="24" s="1"/>
  <c r="C164" i="24"/>
  <c r="H164" i="24"/>
  <c r="C163" i="24"/>
  <c r="H163" i="24" s="1"/>
  <c r="C162" i="24"/>
  <c r="H162" i="24"/>
  <c r="C161" i="24"/>
  <c r="H161" i="24" s="1"/>
  <c r="C160" i="24"/>
  <c r="H160" i="24" s="1"/>
  <c r="C159" i="24"/>
  <c r="H159" i="24" s="1"/>
  <c r="C158" i="24"/>
  <c r="H158" i="24"/>
  <c r="C157" i="24"/>
  <c r="H157" i="24" s="1"/>
  <c r="C156" i="24"/>
  <c r="H156" i="24" s="1"/>
  <c r="C155" i="24"/>
  <c r="H155" i="24" s="1"/>
  <c r="C154" i="24"/>
  <c r="H154" i="24" s="1"/>
  <c r="C153" i="24"/>
  <c r="H153" i="24" s="1"/>
  <c r="C152" i="24"/>
  <c r="H152" i="24" s="1"/>
  <c r="C151" i="24"/>
  <c r="H151" i="24" s="1"/>
  <c r="C150" i="24"/>
  <c r="H150" i="24" s="1"/>
  <c r="C149" i="24"/>
  <c r="H149" i="24" s="1"/>
  <c r="C148" i="24"/>
  <c r="H148" i="24" s="1"/>
  <c r="C147" i="24"/>
  <c r="H147" i="24" s="1"/>
  <c r="C146" i="24"/>
  <c r="H146" i="24" s="1"/>
  <c r="C145" i="24"/>
  <c r="C144" i="24"/>
  <c r="H144" i="24"/>
  <c r="C143" i="24"/>
  <c r="H143" i="24"/>
  <c r="C142" i="24"/>
  <c r="H142" i="24"/>
  <c r="C141" i="24"/>
  <c r="H141" i="24"/>
  <c r="C140" i="24"/>
  <c r="H140" i="24"/>
  <c r="C139" i="24"/>
  <c r="H139" i="24"/>
  <c r="C138" i="24"/>
  <c r="H138" i="24"/>
  <c r="C137" i="24"/>
  <c r="H137" i="24"/>
  <c r="C136" i="24"/>
  <c r="H136" i="24"/>
  <c r="C135" i="24"/>
  <c r="H135" i="24"/>
  <c r="C134" i="24"/>
  <c r="H134" i="24"/>
  <c r="C133" i="24"/>
  <c r="H133" i="24"/>
  <c r="C132" i="24"/>
  <c r="H132" i="24"/>
  <c r="C131" i="24"/>
  <c r="H131" i="24"/>
  <c r="C130" i="24"/>
  <c r="H130" i="24"/>
  <c r="C129" i="24"/>
  <c r="H129" i="24"/>
  <c r="C128" i="24"/>
  <c r="H128" i="24"/>
  <c r="C127" i="24"/>
  <c r="H127" i="24"/>
  <c r="C126" i="24"/>
  <c r="H126" i="24"/>
  <c r="C125" i="24"/>
  <c r="H125" i="24"/>
  <c r="C124" i="24"/>
  <c r="H124" i="24" s="1"/>
  <c r="C123" i="24"/>
  <c r="H123" i="24"/>
  <c r="C122" i="24"/>
  <c r="H122" i="24" s="1"/>
  <c r="C121" i="24"/>
  <c r="H121" i="24"/>
  <c r="C120" i="24"/>
  <c r="C119" i="24"/>
  <c r="H119" i="24"/>
  <c r="C118" i="24"/>
  <c r="H118" i="24" s="1"/>
  <c r="C116" i="24"/>
  <c r="C115" i="24"/>
  <c r="H115" i="24"/>
  <c r="C114" i="24"/>
  <c r="C113" i="24"/>
  <c r="H113" i="24"/>
  <c r="C112" i="24"/>
  <c r="C111" i="24"/>
  <c r="H111" i="24"/>
  <c r="C110" i="24"/>
  <c r="C109" i="24"/>
  <c r="H109" i="24" s="1"/>
  <c r="C108" i="24"/>
  <c r="C106" i="24"/>
  <c r="C105" i="24"/>
  <c r="H105" i="24" s="1"/>
  <c r="C104" i="24"/>
  <c r="C103" i="24"/>
  <c r="H103" i="24"/>
  <c r="C102" i="24"/>
  <c r="C101" i="24"/>
  <c r="H101" i="24"/>
  <c r="C100" i="24"/>
  <c r="C99" i="24"/>
  <c r="H99" i="24" s="1"/>
  <c r="C98" i="24"/>
  <c r="C97" i="24"/>
  <c r="H97" i="24" s="1"/>
  <c r="C96" i="24"/>
  <c r="C95" i="24"/>
  <c r="C94" i="24"/>
  <c r="H94" i="24" s="1"/>
  <c r="C93" i="24"/>
  <c r="C92" i="24"/>
  <c r="H92" i="24"/>
  <c r="C91" i="24"/>
  <c r="C90" i="24"/>
  <c r="H90" i="24"/>
  <c r="C89" i="24"/>
  <c r="C88" i="24"/>
  <c r="H88" i="24" s="1"/>
  <c r="C87" i="24"/>
  <c r="C86" i="24"/>
  <c r="H86" i="24" s="1"/>
  <c r="C85" i="24"/>
  <c r="C84" i="24"/>
  <c r="H84" i="24"/>
  <c r="C83" i="24"/>
  <c r="C82" i="24"/>
  <c r="H82" i="24"/>
  <c r="C81" i="24"/>
  <c r="C80" i="24"/>
  <c r="H80" i="24" s="1"/>
  <c r="C79" i="24"/>
  <c r="C78" i="24"/>
  <c r="H78" i="24" s="1"/>
  <c r="C77" i="24"/>
  <c r="C76" i="24"/>
  <c r="H76" i="24"/>
  <c r="C75" i="24"/>
  <c r="C74" i="24"/>
  <c r="H74" i="24"/>
  <c r="C73" i="24"/>
  <c r="C72" i="24"/>
  <c r="H72" i="24" s="1"/>
  <c r="C71" i="24"/>
  <c r="C70" i="24"/>
  <c r="H70" i="24" s="1"/>
  <c r="C69" i="24"/>
  <c r="C68" i="24"/>
  <c r="H68" i="24"/>
  <c r="C67" i="24"/>
  <c r="C66" i="24"/>
  <c r="H66" i="24"/>
  <c r="C65" i="24"/>
  <c r="C64" i="24"/>
  <c r="H64" i="24" s="1"/>
  <c r="C63" i="24"/>
  <c r="C62" i="24"/>
  <c r="H62" i="24" s="1"/>
  <c r="C61" i="24"/>
  <c r="C59" i="24"/>
  <c r="H59" i="24"/>
  <c r="C58" i="24"/>
  <c r="C57" i="24"/>
  <c r="H57" i="24"/>
  <c r="C56" i="24"/>
  <c r="C55" i="24"/>
  <c r="H55" i="24"/>
  <c r="C54" i="24"/>
  <c r="C53" i="24"/>
  <c r="C52" i="24"/>
  <c r="H52" i="24" s="1"/>
  <c r="C51" i="24"/>
  <c r="C49" i="24"/>
  <c r="H49" i="24" s="1"/>
  <c r="C48" i="24"/>
  <c r="C47" i="24"/>
  <c r="H47" i="24"/>
  <c r="C46" i="24"/>
  <c r="C45" i="24"/>
  <c r="C44" i="24"/>
  <c r="H44" i="24"/>
  <c r="C43" i="24"/>
  <c r="C42" i="24"/>
  <c r="H42" i="24"/>
  <c r="C41" i="24"/>
  <c r="C40" i="24"/>
  <c r="C39" i="24"/>
  <c r="H39" i="24"/>
  <c r="C38" i="24"/>
  <c r="C37" i="24"/>
  <c r="H37" i="24" s="1"/>
  <c r="C36" i="24"/>
  <c r="C35" i="24"/>
  <c r="H35" i="24" s="1"/>
  <c r="C34" i="24"/>
  <c r="C33" i="24"/>
  <c r="H33" i="24"/>
  <c r="C32" i="24"/>
  <c r="C31" i="24"/>
  <c r="C30" i="24"/>
  <c r="H30" i="24"/>
  <c r="C29" i="24"/>
  <c r="C28" i="24"/>
  <c r="H28" i="24"/>
  <c r="C27" i="24"/>
  <c r="C26" i="24"/>
  <c r="C25" i="24"/>
  <c r="H25" i="24"/>
  <c r="C24" i="24"/>
  <c r="C23" i="24"/>
  <c r="H23" i="24" s="1"/>
  <c r="C22" i="24"/>
  <c r="C21" i="24"/>
  <c r="H21" i="24" s="1"/>
  <c r="C20" i="24"/>
  <c r="C19" i="24"/>
  <c r="H19" i="24"/>
  <c r="C18" i="24"/>
  <c r="C17" i="24"/>
  <c r="H17" i="24"/>
  <c r="C16" i="24"/>
  <c r="C15" i="24"/>
  <c r="H15" i="24" s="1"/>
  <c r="C14" i="24"/>
  <c r="C13" i="24"/>
  <c r="H13" i="24" s="1"/>
  <c r="C12" i="24"/>
  <c r="C11" i="24"/>
  <c r="H11" i="24"/>
  <c r="C10" i="24"/>
  <c r="C9" i="24"/>
  <c r="C8" i="24"/>
  <c r="H8" i="24" s="1"/>
  <c r="C7" i="24"/>
  <c r="C6" i="24"/>
  <c r="H6" i="24"/>
  <c r="C5" i="24"/>
  <c r="H4" i="24"/>
  <c r="C4" i="24"/>
  <c r="D17" i="23"/>
  <c r="B17" i="23"/>
  <c r="D16" i="23"/>
  <c r="B16" i="23"/>
  <c r="D14" i="23"/>
  <c r="B14" i="23"/>
  <c r="D13" i="23"/>
  <c r="B13" i="23"/>
  <c r="D12" i="23"/>
  <c r="B12" i="23"/>
  <c r="D10" i="23"/>
  <c r="B10" i="23"/>
  <c r="D9" i="23"/>
  <c r="B9" i="23"/>
  <c r="D8" i="23"/>
  <c r="B8" i="23"/>
  <c r="D7" i="23"/>
  <c r="B7" i="23"/>
  <c r="D5" i="23"/>
  <c r="B5" i="23"/>
  <c r="D4" i="23"/>
  <c r="B4" i="23"/>
  <c r="D3" i="23"/>
  <c r="B3" i="23"/>
  <c r="C50" i="22"/>
  <c r="B50" i="22"/>
  <c r="B49" i="22"/>
  <c r="C47" i="22"/>
  <c r="C45" i="22"/>
  <c r="B45" i="22"/>
  <c r="C44" i="22"/>
  <c r="B44" i="22"/>
  <c r="C43" i="22"/>
  <c r="B43" i="22"/>
  <c r="C42" i="22"/>
  <c r="B42" i="22"/>
  <c r="C41" i="22"/>
  <c r="B41" i="22"/>
  <c r="C40" i="22"/>
  <c r="B40" i="22"/>
  <c r="C39" i="22"/>
  <c r="B39" i="22"/>
  <c r="C38" i="22"/>
  <c r="B38" i="22"/>
  <c r="C36" i="22"/>
  <c r="B36" i="22"/>
  <c r="C35" i="22"/>
  <c r="B35" i="22"/>
  <c r="C34" i="22"/>
  <c r="B34" i="22"/>
  <c r="C33" i="22"/>
  <c r="B33" i="22"/>
  <c r="C32" i="22"/>
  <c r="B32" i="22"/>
  <c r="C31" i="22"/>
  <c r="B31" i="22"/>
  <c r="C30" i="22"/>
  <c r="B30" i="22"/>
  <c r="C29" i="22"/>
  <c r="B29" i="22"/>
  <c r="C27" i="22"/>
  <c r="C26" i="22"/>
  <c r="C25" i="22"/>
  <c r="C24" i="22"/>
  <c r="C23" i="22"/>
  <c r="C21" i="22"/>
  <c r="B21" i="22"/>
  <c r="C20" i="22"/>
  <c r="B20" i="22"/>
  <c r="C19" i="22"/>
  <c r="B19" i="22"/>
  <c r="C18" i="22"/>
  <c r="B18" i="22"/>
  <c r="C17" i="22"/>
  <c r="B17" i="22"/>
  <c r="C15" i="22"/>
  <c r="B15" i="22"/>
  <c r="C14" i="22"/>
  <c r="B14" i="22"/>
  <c r="C13" i="22"/>
  <c r="B13" i="22"/>
  <c r="C12" i="22"/>
  <c r="B12" i="22"/>
  <c r="C11" i="22"/>
  <c r="B11" i="22"/>
  <c r="C10" i="22"/>
  <c r="B10" i="22"/>
  <c r="C8" i="22"/>
  <c r="C7" i="22"/>
  <c r="C6" i="22"/>
  <c r="C5" i="22"/>
  <c r="B5" i="22"/>
  <c r="C4" i="22"/>
  <c r="B4" i="22"/>
  <c r="C3" i="22"/>
  <c r="P13" i="21"/>
  <c r="O13" i="21"/>
  <c r="N13" i="21"/>
  <c r="M13" i="21"/>
  <c r="L13" i="21"/>
  <c r="H13" i="21"/>
  <c r="G13" i="21"/>
  <c r="F13" i="21"/>
  <c r="E13" i="21"/>
  <c r="D13" i="21"/>
  <c r="C13" i="21"/>
  <c r="P12" i="21"/>
  <c r="O12" i="21"/>
  <c r="N12" i="21"/>
  <c r="M12" i="21"/>
  <c r="L12" i="21"/>
  <c r="H12" i="21"/>
  <c r="G12" i="21"/>
  <c r="F12" i="21"/>
  <c r="E12" i="21"/>
  <c r="D12" i="21"/>
  <c r="C12" i="21"/>
  <c r="P11" i="21"/>
  <c r="O11" i="21"/>
  <c r="N11" i="21"/>
  <c r="M11" i="21"/>
  <c r="L11" i="21"/>
  <c r="H11" i="21"/>
  <c r="G11" i="21"/>
  <c r="F11" i="21"/>
  <c r="E11" i="21"/>
  <c r="D11" i="21"/>
  <c r="C11" i="21"/>
  <c r="P10" i="21"/>
  <c r="O10" i="21"/>
  <c r="N10" i="21"/>
  <c r="M10" i="21"/>
  <c r="L10" i="21"/>
  <c r="H10" i="21"/>
  <c r="G10" i="21"/>
  <c r="F10" i="21"/>
  <c r="E10" i="21"/>
  <c r="D10" i="21"/>
  <c r="C10" i="21"/>
  <c r="P9" i="21"/>
  <c r="O9" i="21"/>
  <c r="N9" i="21"/>
  <c r="M9" i="21"/>
  <c r="L9" i="21"/>
  <c r="H9" i="21"/>
  <c r="G9" i="21"/>
  <c r="F9" i="21"/>
  <c r="E9" i="21"/>
  <c r="D9" i="21"/>
  <c r="C9" i="21"/>
  <c r="P8" i="21"/>
  <c r="O8" i="21"/>
  <c r="N8" i="21"/>
  <c r="M8" i="21"/>
  <c r="L8" i="21"/>
  <c r="H8" i="21"/>
  <c r="G8" i="21"/>
  <c r="F8" i="21"/>
  <c r="E8" i="21"/>
  <c r="D8" i="21"/>
  <c r="C8" i="21"/>
  <c r="P7" i="21"/>
  <c r="O7" i="21"/>
  <c r="N7" i="21"/>
  <c r="M7" i="21"/>
  <c r="L7" i="21"/>
  <c r="H7" i="21"/>
  <c r="G7" i="21"/>
  <c r="F7" i="21"/>
  <c r="E7" i="21"/>
  <c r="D7" i="21"/>
  <c r="C7" i="21"/>
  <c r="P6" i="21"/>
  <c r="O6" i="21"/>
  <c r="N6" i="21"/>
  <c r="M6" i="21"/>
  <c r="L6" i="21"/>
  <c r="H6" i="21"/>
  <c r="G6" i="21"/>
  <c r="F6" i="21"/>
  <c r="E6" i="21"/>
  <c r="D6" i="21"/>
  <c r="C6" i="21"/>
  <c r="P5" i="21"/>
  <c r="O5" i="21"/>
  <c r="N5" i="21"/>
  <c r="M5" i="21"/>
  <c r="L5" i="21"/>
  <c r="H5" i="21"/>
  <c r="G5" i="21"/>
  <c r="F5" i="21"/>
  <c r="E5" i="21"/>
  <c r="D5" i="21"/>
  <c r="C5" i="21"/>
  <c r="P4" i="21"/>
  <c r="O4" i="21"/>
  <c r="N4" i="21"/>
  <c r="M4" i="21"/>
  <c r="L4" i="21"/>
  <c r="H4" i="21"/>
  <c r="G4" i="21"/>
  <c r="F4" i="21"/>
  <c r="E4" i="21"/>
  <c r="D4" i="21"/>
  <c r="C4" i="21"/>
  <c r="P3" i="21"/>
  <c r="O3" i="21"/>
  <c r="N3" i="21"/>
  <c r="M3" i="21"/>
  <c r="L3" i="21"/>
  <c r="H3" i="21"/>
  <c r="G3" i="21"/>
  <c r="F3" i="21"/>
  <c r="E3" i="21"/>
  <c r="D3" i="21"/>
  <c r="C3" i="21"/>
  <c r="P54" i="20"/>
  <c r="O54" i="20"/>
  <c r="N54" i="20"/>
  <c r="M54" i="20"/>
  <c r="L54" i="20"/>
  <c r="J54" i="20"/>
  <c r="H54" i="20"/>
  <c r="G54" i="20"/>
  <c r="F54" i="20"/>
  <c r="E54" i="20"/>
  <c r="P53" i="20"/>
  <c r="O53" i="20"/>
  <c r="N53" i="20"/>
  <c r="M53" i="20"/>
  <c r="L53" i="20"/>
  <c r="J53" i="20"/>
  <c r="H53" i="20"/>
  <c r="G53" i="20"/>
  <c r="F53" i="20"/>
  <c r="E53" i="20"/>
  <c r="P52" i="20"/>
  <c r="O52" i="20"/>
  <c r="N52" i="20"/>
  <c r="M52" i="20"/>
  <c r="L52" i="20"/>
  <c r="J52" i="20"/>
  <c r="H52" i="20"/>
  <c r="G52" i="20"/>
  <c r="F52" i="20"/>
  <c r="E52" i="20"/>
  <c r="P51" i="20"/>
  <c r="O51" i="20"/>
  <c r="N51" i="20"/>
  <c r="M51" i="20"/>
  <c r="L51" i="20"/>
  <c r="J51" i="20"/>
  <c r="H51" i="20"/>
  <c r="G51" i="20"/>
  <c r="F51" i="20"/>
  <c r="E51" i="20"/>
  <c r="P50" i="20"/>
  <c r="O50" i="20"/>
  <c r="N50" i="20"/>
  <c r="M50" i="20"/>
  <c r="L50" i="20"/>
  <c r="J50" i="20"/>
  <c r="H50" i="20"/>
  <c r="G50" i="20"/>
  <c r="F50" i="20"/>
  <c r="E50" i="20"/>
  <c r="P49" i="20"/>
  <c r="O49" i="20"/>
  <c r="N49" i="20"/>
  <c r="M49" i="20"/>
  <c r="L49" i="20"/>
  <c r="J49" i="20"/>
  <c r="H49" i="20"/>
  <c r="G49" i="20"/>
  <c r="F49" i="20"/>
  <c r="E49" i="20"/>
  <c r="P48" i="20"/>
  <c r="O48" i="20"/>
  <c r="N48" i="20"/>
  <c r="M48" i="20"/>
  <c r="L48" i="20"/>
  <c r="J48" i="20"/>
  <c r="H48" i="20"/>
  <c r="G48" i="20"/>
  <c r="F48" i="20"/>
  <c r="E48" i="20"/>
  <c r="P47" i="20"/>
  <c r="O47" i="20"/>
  <c r="N47" i="20"/>
  <c r="M47" i="20"/>
  <c r="L47" i="20"/>
  <c r="J47" i="20"/>
  <c r="H47" i="20"/>
  <c r="G47" i="20"/>
  <c r="F47" i="20"/>
  <c r="E47" i="20"/>
  <c r="D47" i="20"/>
  <c r="P46" i="20"/>
  <c r="O46" i="20"/>
  <c r="N46" i="20"/>
  <c r="M46" i="20"/>
  <c r="L46" i="20"/>
  <c r="J46" i="20"/>
  <c r="H46" i="20"/>
  <c r="G46" i="20"/>
  <c r="F46" i="20"/>
  <c r="E46" i="20"/>
  <c r="D46" i="20"/>
  <c r="P45" i="20"/>
  <c r="O45" i="20"/>
  <c r="N45" i="20"/>
  <c r="M45" i="20"/>
  <c r="L45" i="20"/>
  <c r="J45" i="20"/>
  <c r="H45" i="20"/>
  <c r="G45" i="20"/>
  <c r="F45" i="20"/>
  <c r="E45" i="20"/>
  <c r="D45" i="20"/>
  <c r="P44" i="20"/>
  <c r="O44" i="20"/>
  <c r="N44" i="20"/>
  <c r="M44" i="20"/>
  <c r="L44" i="20"/>
  <c r="J44" i="20"/>
  <c r="H44" i="20"/>
  <c r="G44" i="20"/>
  <c r="F44" i="20"/>
  <c r="E44" i="20"/>
  <c r="D44" i="20"/>
  <c r="P43" i="20"/>
  <c r="O43" i="20"/>
  <c r="N43" i="20"/>
  <c r="M43" i="20"/>
  <c r="L43" i="20"/>
  <c r="J43" i="20"/>
  <c r="H43" i="20"/>
  <c r="G43" i="20"/>
  <c r="F43" i="20"/>
  <c r="E43" i="20"/>
  <c r="D43" i="20"/>
  <c r="P42" i="20"/>
  <c r="O42" i="20"/>
  <c r="N42" i="20"/>
  <c r="M42" i="20"/>
  <c r="L42" i="20"/>
  <c r="J42" i="20"/>
  <c r="H42" i="20"/>
  <c r="G42" i="20"/>
  <c r="F42" i="20"/>
  <c r="E42" i="20"/>
  <c r="D42" i="20"/>
  <c r="P41" i="20"/>
  <c r="O41" i="20"/>
  <c r="N41" i="20"/>
  <c r="M41" i="20"/>
  <c r="L41" i="20"/>
  <c r="J41" i="20"/>
  <c r="H41" i="20"/>
  <c r="G41" i="20"/>
  <c r="F41" i="20"/>
  <c r="E41" i="20"/>
  <c r="D41" i="20"/>
  <c r="P40" i="20"/>
  <c r="O40" i="20"/>
  <c r="N40" i="20"/>
  <c r="M40" i="20"/>
  <c r="L40" i="20"/>
  <c r="J40" i="20"/>
  <c r="H40" i="20"/>
  <c r="G40" i="20"/>
  <c r="F40" i="20"/>
  <c r="E40" i="20"/>
  <c r="D40" i="20"/>
  <c r="C40" i="20"/>
  <c r="P39" i="20"/>
  <c r="O39" i="20"/>
  <c r="N39" i="20"/>
  <c r="M39" i="20"/>
  <c r="L39" i="20"/>
  <c r="J39" i="20"/>
  <c r="H39" i="20"/>
  <c r="G39" i="20"/>
  <c r="F39" i="20"/>
  <c r="E39" i="20"/>
  <c r="D39" i="20"/>
  <c r="C39" i="20"/>
  <c r="P38" i="20"/>
  <c r="O38" i="20"/>
  <c r="N38" i="20"/>
  <c r="M38" i="20"/>
  <c r="L38" i="20"/>
  <c r="J38" i="20"/>
  <c r="H38" i="20"/>
  <c r="G38" i="20"/>
  <c r="F38" i="20"/>
  <c r="E38" i="20"/>
  <c r="D38" i="20"/>
  <c r="C38" i="20"/>
  <c r="P37" i="20"/>
  <c r="O37" i="20"/>
  <c r="N37" i="20"/>
  <c r="M37" i="20"/>
  <c r="L37" i="20"/>
  <c r="J37" i="20"/>
  <c r="H37" i="20"/>
  <c r="G37" i="20"/>
  <c r="F37" i="20"/>
  <c r="E37" i="20"/>
  <c r="D37" i="20"/>
  <c r="C37" i="20"/>
  <c r="P36" i="20"/>
  <c r="O36" i="20"/>
  <c r="N36" i="20"/>
  <c r="M36" i="20"/>
  <c r="L36" i="20"/>
  <c r="J36" i="20"/>
  <c r="H36" i="20"/>
  <c r="G36" i="20"/>
  <c r="F36" i="20"/>
  <c r="E36" i="20"/>
  <c r="D36" i="20"/>
  <c r="C36" i="20"/>
  <c r="P35" i="20"/>
  <c r="O35" i="20"/>
  <c r="N35" i="20"/>
  <c r="M35" i="20"/>
  <c r="L35" i="20"/>
  <c r="J35" i="20"/>
  <c r="H35" i="20"/>
  <c r="G35" i="20"/>
  <c r="F35" i="20"/>
  <c r="E35" i="20"/>
  <c r="D35" i="20"/>
  <c r="C35" i="20"/>
  <c r="P34" i="20"/>
  <c r="O34" i="20"/>
  <c r="N34" i="20"/>
  <c r="M34" i="20"/>
  <c r="L34" i="20"/>
  <c r="J34" i="20"/>
  <c r="H34" i="20"/>
  <c r="G34" i="20"/>
  <c r="F34" i="20"/>
  <c r="E34" i="20"/>
  <c r="D34" i="20"/>
  <c r="C34" i="20"/>
  <c r="P33" i="20"/>
  <c r="O33" i="20"/>
  <c r="N33" i="20"/>
  <c r="M33" i="20"/>
  <c r="L33" i="20"/>
  <c r="J33" i="20"/>
  <c r="H33" i="20"/>
  <c r="G33" i="20"/>
  <c r="F33" i="20"/>
  <c r="E33" i="20"/>
  <c r="D33" i="20"/>
  <c r="C33" i="20"/>
  <c r="P32" i="20"/>
  <c r="O32" i="20"/>
  <c r="N32" i="20"/>
  <c r="M32" i="20"/>
  <c r="L32" i="20"/>
  <c r="J32" i="20"/>
  <c r="H32" i="20"/>
  <c r="G32" i="20"/>
  <c r="F32" i="20"/>
  <c r="E32" i="20"/>
  <c r="D32" i="20"/>
  <c r="C32" i="20"/>
  <c r="P31" i="20"/>
  <c r="O31" i="20"/>
  <c r="N31" i="20"/>
  <c r="M31" i="20"/>
  <c r="L31" i="20"/>
  <c r="J31" i="20"/>
  <c r="H31" i="20"/>
  <c r="G31" i="20"/>
  <c r="F31" i="20"/>
  <c r="E31" i="20"/>
  <c r="D31" i="20"/>
  <c r="C31" i="20"/>
  <c r="P30" i="20"/>
  <c r="O30" i="20"/>
  <c r="N30" i="20"/>
  <c r="M30" i="20"/>
  <c r="L30" i="20"/>
  <c r="J30" i="20"/>
  <c r="H30" i="20"/>
  <c r="G30" i="20"/>
  <c r="F30" i="20"/>
  <c r="E30" i="20"/>
  <c r="D30" i="20"/>
  <c r="C30" i="20"/>
  <c r="P29" i="20"/>
  <c r="O29" i="20"/>
  <c r="N29" i="20"/>
  <c r="M29" i="20"/>
  <c r="L29" i="20"/>
  <c r="J29" i="20"/>
  <c r="H29" i="20"/>
  <c r="G29" i="20"/>
  <c r="F29" i="20"/>
  <c r="E29" i="20"/>
  <c r="D29" i="20"/>
  <c r="C29" i="20"/>
  <c r="P28" i="20"/>
  <c r="O28" i="20"/>
  <c r="N28" i="20"/>
  <c r="M28" i="20"/>
  <c r="L28" i="20"/>
  <c r="J28" i="20"/>
  <c r="H28" i="20"/>
  <c r="G28" i="20"/>
  <c r="F28" i="20"/>
  <c r="E28" i="20"/>
  <c r="D28" i="20"/>
  <c r="C28" i="20"/>
  <c r="P27" i="20"/>
  <c r="O27" i="20"/>
  <c r="N27" i="20"/>
  <c r="M27" i="20"/>
  <c r="L27" i="20"/>
  <c r="J27" i="20"/>
  <c r="H27" i="20"/>
  <c r="G27" i="20"/>
  <c r="F27" i="20"/>
  <c r="E27" i="20"/>
  <c r="D27" i="20"/>
  <c r="C27" i="20"/>
  <c r="P26" i="20"/>
  <c r="O26" i="20"/>
  <c r="N26" i="20"/>
  <c r="M26" i="20"/>
  <c r="L26" i="20"/>
  <c r="J26" i="20"/>
  <c r="H26" i="20"/>
  <c r="G26" i="20"/>
  <c r="F26" i="20"/>
  <c r="E26" i="20"/>
  <c r="D26" i="20"/>
  <c r="C26" i="20"/>
  <c r="P25" i="20"/>
  <c r="O25" i="20"/>
  <c r="N25" i="20"/>
  <c r="M25" i="20"/>
  <c r="L25" i="20"/>
  <c r="J25" i="20"/>
  <c r="H25" i="20"/>
  <c r="G25" i="20"/>
  <c r="F25" i="20"/>
  <c r="E25" i="20"/>
  <c r="D25" i="20"/>
  <c r="C25" i="20"/>
  <c r="P24" i="20"/>
  <c r="O24" i="20"/>
  <c r="N24" i="20"/>
  <c r="M24" i="20"/>
  <c r="L24" i="20"/>
  <c r="J24" i="20"/>
  <c r="H24" i="20"/>
  <c r="G24" i="20"/>
  <c r="F24" i="20"/>
  <c r="E24" i="20"/>
  <c r="D24" i="20"/>
  <c r="C24" i="20"/>
  <c r="P23" i="20"/>
  <c r="O23" i="20"/>
  <c r="N23" i="20"/>
  <c r="M23" i="20"/>
  <c r="L23" i="20"/>
  <c r="J23" i="20"/>
  <c r="H23" i="20"/>
  <c r="G23" i="20"/>
  <c r="F23" i="20"/>
  <c r="E23" i="20"/>
  <c r="D23" i="20"/>
  <c r="C23" i="20"/>
  <c r="P22" i="20"/>
  <c r="O22" i="20"/>
  <c r="N22" i="20"/>
  <c r="M22" i="20"/>
  <c r="L22" i="20"/>
  <c r="J22" i="20"/>
  <c r="H22" i="20"/>
  <c r="G22" i="20"/>
  <c r="F22" i="20"/>
  <c r="E22" i="20"/>
  <c r="D22" i="20"/>
  <c r="C22" i="20"/>
  <c r="P21" i="20"/>
  <c r="O21" i="20"/>
  <c r="N21" i="20"/>
  <c r="M21" i="20"/>
  <c r="L21" i="20"/>
  <c r="J21" i="20"/>
  <c r="H21" i="20"/>
  <c r="G21" i="20"/>
  <c r="F21" i="20"/>
  <c r="E21" i="20"/>
  <c r="D21" i="20"/>
  <c r="C21" i="20"/>
  <c r="P20" i="20"/>
  <c r="O20" i="20"/>
  <c r="N20" i="20"/>
  <c r="M20" i="20"/>
  <c r="L20" i="20"/>
  <c r="J20" i="20"/>
  <c r="H20" i="20"/>
  <c r="G20" i="20"/>
  <c r="F20" i="20"/>
  <c r="E20" i="20"/>
  <c r="D20" i="20"/>
  <c r="C20" i="20"/>
  <c r="P19" i="20"/>
  <c r="O19" i="20"/>
  <c r="N19" i="20"/>
  <c r="M19" i="20"/>
  <c r="L19" i="20"/>
  <c r="J19" i="20"/>
  <c r="H19" i="20"/>
  <c r="G19" i="20"/>
  <c r="F19" i="20"/>
  <c r="E19" i="20"/>
  <c r="D19" i="20"/>
  <c r="C19" i="20"/>
  <c r="P18" i="20"/>
  <c r="O18" i="20"/>
  <c r="N18" i="20"/>
  <c r="M18" i="20"/>
  <c r="L18" i="20"/>
  <c r="J18" i="20"/>
  <c r="H18" i="20"/>
  <c r="G18" i="20"/>
  <c r="F18" i="20"/>
  <c r="E18" i="20"/>
  <c r="D18" i="20"/>
  <c r="C18" i="20"/>
  <c r="P17" i="20"/>
  <c r="O17" i="20"/>
  <c r="N17" i="20"/>
  <c r="M17" i="20"/>
  <c r="L17" i="20"/>
  <c r="J17" i="20"/>
  <c r="H17" i="20"/>
  <c r="G17" i="20"/>
  <c r="F17" i="20"/>
  <c r="E17" i="20"/>
  <c r="D17" i="20"/>
  <c r="C17" i="20"/>
  <c r="P16" i="20"/>
  <c r="O16" i="20"/>
  <c r="N16" i="20"/>
  <c r="M16" i="20"/>
  <c r="L16" i="20"/>
  <c r="H16" i="20"/>
  <c r="G16" i="20"/>
  <c r="F16" i="20"/>
  <c r="E16" i="20"/>
  <c r="D16" i="20"/>
  <c r="C16" i="20"/>
  <c r="P15" i="20"/>
  <c r="O15" i="20"/>
  <c r="N15" i="20"/>
  <c r="M15" i="20"/>
  <c r="L15" i="20"/>
  <c r="H15" i="20"/>
  <c r="G15" i="20"/>
  <c r="F15" i="20"/>
  <c r="E15" i="20"/>
  <c r="D15" i="20"/>
  <c r="C15" i="20"/>
  <c r="P14" i="20"/>
  <c r="O14" i="20"/>
  <c r="N14" i="20"/>
  <c r="M14" i="20"/>
  <c r="L14" i="20"/>
  <c r="J14" i="20"/>
  <c r="H14" i="20"/>
  <c r="G14" i="20"/>
  <c r="F14" i="20"/>
  <c r="E14" i="20"/>
  <c r="D14" i="20"/>
  <c r="C14" i="20"/>
  <c r="P13" i="20"/>
  <c r="O13" i="20"/>
  <c r="N13" i="20"/>
  <c r="M13" i="20"/>
  <c r="L13" i="20"/>
  <c r="J13" i="20"/>
  <c r="H13" i="20"/>
  <c r="G13" i="20"/>
  <c r="F13" i="20"/>
  <c r="E13" i="20"/>
  <c r="D13" i="20"/>
  <c r="C13" i="20"/>
  <c r="P12" i="20"/>
  <c r="O12" i="20"/>
  <c r="N12" i="20"/>
  <c r="M12" i="20"/>
  <c r="L12" i="20"/>
  <c r="J12" i="20"/>
  <c r="H12" i="20"/>
  <c r="G12" i="20"/>
  <c r="F12" i="20"/>
  <c r="E12" i="20"/>
  <c r="D12" i="20"/>
  <c r="C12" i="20"/>
  <c r="P11" i="20"/>
  <c r="O11" i="20"/>
  <c r="N11" i="20"/>
  <c r="M11" i="20"/>
  <c r="L11" i="20"/>
  <c r="J11" i="20"/>
  <c r="H11" i="20"/>
  <c r="G11" i="20"/>
  <c r="F11" i="20"/>
  <c r="E11" i="20"/>
  <c r="D11" i="20"/>
  <c r="C11" i="20"/>
  <c r="P10" i="20"/>
  <c r="O10" i="20"/>
  <c r="N10" i="20"/>
  <c r="M10" i="20"/>
  <c r="L10" i="20"/>
  <c r="J10" i="20"/>
  <c r="H10" i="20"/>
  <c r="G10" i="20"/>
  <c r="F10" i="20"/>
  <c r="E10" i="20"/>
  <c r="D10" i="20"/>
  <c r="C10" i="20"/>
  <c r="P9" i="20"/>
  <c r="O9" i="20"/>
  <c r="N9" i="20"/>
  <c r="M9" i="20"/>
  <c r="L9" i="20"/>
  <c r="J9" i="20"/>
  <c r="H9" i="20"/>
  <c r="G9" i="20"/>
  <c r="F9" i="20"/>
  <c r="E9" i="20"/>
  <c r="D9" i="20"/>
  <c r="C9" i="20"/>
  <c r="P8" i="20"/>
  <c r="O8" i="20"/>
  <c r="N8" i="20"/>
  <c r="M8" i="20"/>
  <c r="L8" i="20"/>
  <c r="J8" i="20"/>
  <c r="H8" i="20"/>
  <c r="G8" i="20"/>
  <c r="F8" i="20"/>
  <c r="E8" i="20"/>
  <c r="D8" i="20"/>
  <c r="C8" i="20"/>
  <c r="P7" i="20"/>
  <c r="O7" i="20"/>
  <c r="N7" i="20"/>
  <c r="M7" i="20"/>
  <c r="L7" i="20"/>
  <c r="J7" i="20"/>
  <c r="H7" i="20"/>
  <c r="G7" i="20"/>
  <c r="F7" i="20"/>
  <c r="E7" i="20"/>
  <c r="D7" i="20"/>
  <c r="C7" i="20"/>
  <c r="P6" i="20"/>
  <c r="O6" i="20"/>
  <c r="N6" i="20"/>
  <c r="M6" i="20"/>
  <c r="L6" i="20"/>
  <c r="J6" i="20"/>
  <c r="H6" i="20"/>
  <c r="G6" i="20"/>
  <c r="F6" i="20"/>
  <c r="E6" i="20"/>
  <c r="D6" i="20"/>
  <c r="C6" i="20"/>
  <c r="P5" i="20"/>
  <c r="O5" i="20"/>
  <c r="N5" i="20"/>
  <c r="M5" i="20"/>
  <c r="L5" i="20"/>
  <c r="J5" i="20"/>
  <c r="H5" i="20"/>
  <c r="G5" i="20"/>
  <c r="F5" i="20"/>
  <c r="E5" i="20"/>
  <c r="D5" i="20"/>
  <c r="C5" i="20"/>
  <c r="P4" i="20"/>
  <c r="O4" i="20"/>
  <c r="N4" i="20"/>
  <c r="M4" i="20"/>
  <c r="L4" i="20"/>
  <c r="J4" i="20"/>
  <c r="H4" i="20"/>
  <c r="G4" i="20"/>
  <c r="F4" i="20"/>
  <c r="E4" i="20"/>
  <c r="D4" i="20"/>
  <c r="C4" i="20"/>
  <c r="P3" i="20"/>
  <c r="O3" i="20"/>
  <c r="N3" i="20"/>
  <c r="M3" i="20"/>
  <c r="L3" i="20"/>
  <c r="J3" i="20"/>
  <c r="H3" i="20"/>
  <c r="G3" i="20"/>
  <c r="F3" i="20"/>
  <c r="E3" i="20"/>
  <c r="D3" i="20"/>
  <c r="C3" i="20"/>
  <c r="P54" i="19"/>
  <c r="O54" i="19"/>
  <c r="N54" i="19"/>
  <c r="M54" i="19"/>
  <c r="L54" i="19"/>
  <c r="H54" i="19"/>
  <c r="G54" i="19"/>
  <c r="F54" i="19"/>
  <c r="E54" i="19"/>
  <c r="P53" i="19"/>
  <c r="O53" i="19"/>
  <c r="N53" i="19"/>
  <c r="M53" i="19"/>
  <c r="L53" i="19"/>
  <c r="H53" i="19"/>
  <c r="G53" i="19"/>
  <c r="F53" i="19"/>
  <c r="E53" i="19"/>
  <c r="P52" i="19"/>
  <c r="O52" i="19"/>
  <c r="N52" i="19"/>
  <c r="M52" i="19"/>
  <c r="L52" i="19"/>
  <c r="H52" i="19"/>
  <c r="G52" i="19"/>
  <c r="F52" i="19"/>
  <c r="E52" i="19"/>
  <c r="P51" i="19"/>
  <c r="O51" i="19"/>
  <c r="N51" i="19"/>
  <c r="M51" i="19"/>
  <c r="L51" i="19"/>
  <c r="H51" i="19"/>
  <c r="G51" i="19"/>
  <c r="F51" i="19"/>
  <c r="E51" i="19"/>
  <c r="P50" i="19"/>
  <c r="O50" i="19"/>
  <c r="N50" i="19"/>
  <c r="M50" i="19"/>
  <c r="L50" i="19"/>
  <c r="H50" i="19"/>
  <c r="G50" i="19"/>
  <c r="F50" i="19"/>
  <c r="E50" i="19"/>
  <c r="P49" i="19"/>
  <c r="O49" i="19"/>
  <c r="N49" i="19"/>
  <c r="M49" i="19"/>
  <c r="L49" i="19"/>
  <c r="H49" i="19"/>
  <c r="G49" i="19"/>
  <c r="F49" i="19"/>
  <c r="E49" i="19"/>
  <c r="P48" i="19"/>
  <c r="O48" i="19"/>
  <c r="N48" i="19"/>
  <c r="M48" i="19"/>
  <c r="L48" i="19"/>
  <c r="H48" i="19"/>
  <c r="G48" i="19"/>
  <c r="F48" i="19"/>
  <c r="E48" i="19"/>
  <c r="P47" i="19"/>
  <c r="O47" i="19"/>
  <c r="N47" i="19"/>
  <c r="M47" i="19"/>
  <c r="L47" i="19"/>
  <c r="H47" i="19"/>
  <c r="G47" i="19"/>
  <c r="F47" i="19"/>
  <c r="E47" i="19"/>
  <c r="D47" i="19"/>
  <c r="P46" i="19"/>
  <c r="O46" i="19"/>
  <c r="N46" i="19"/>
  <c r="M46" i="19"/>
  <c r="L46" i="19"/>
  <c r="H46" i="19"/>
  <c r="G46" i="19"/>
  <c r="F46" i="19"/>
  <c r="E46" i="19"/>
  <c r="D46" i="19"/>
  <c r="P45" i="19"/>
  <c r="O45" i="19"/>
  <c r="N45" i="19"/>
  <c r="M45" i="19"/>
  <c r="L45" i="19"/>
  <c r="H45" i="19"/>
  <c r="G45" i="19"/>
  <c r="F45" i="19"/>
  <c r="E45" i="19"/>
  <c r="D45" i="19"/>
  <c r="P44" i="19"/>
  <c r="O44" i="19"/>
  <c r="N44" i="19"/>
  <c r="M44" i="19"/>
  <c r="L44" i="19"/>
  <c r="H44" i="19"/>
  <c r="G44" i="19"/>
  <c r="F44" i="19"/>
  <c r="E44" i="19"/>
  <c r="D44" i="19"/>
  <c r="P43" i="19"/>
  <c r="O43" i="19"/>
  <c r="N43" i="19"/>
  <c r="M43" i="19"/>
  <c r="L43" i="19"/>
  <c r="H43" i="19"/>
  <c r="G43" i="19"/>
  <c r="F43" i="19"/>
  <c r="E43" i="19"/>
  <c r="D43" i="19"/>
  <c r="P42" i="19"/>
  <c r="O42" i="19"/>
  <c r="N42" i="19"/>
  <c r="M42" i="19"/>
  <c r="L42" i="19"/>
  <c r="H42" i="19"/>
  <c r="G42" i="19"/>
  <c r="F42" i="19"/>
  <c r="E42" i="19"/>
  <c r="D42" i="19"/>
  <c r="P41" i="19"/>
  <c r="O41" i="19"/>
  <c r="N41" i="19"/>
  <c r="M41" i="19"/>
  <c r="L41" i="19"/>
  <c r="H41" i="19"/>
  <c r="G41" i="19"/>
  <c r="F41" i="19"/>
  <c r="E41" i="19"/>
  <c r="D41" i="19"/>
  <c r="P40" i="19"/>
  <c r="O40" i="19"/>
  <c r="N40" i="19"/>
  <c r="M40" i="19"/>
  <c r="L40" i="19"/>
  <c r="H40" i="19"/>
  <c r="G40" i="19"/>
  <c r="F40" i="19"/>
  <c r="E40" i="19"/>
  <c r="D40" i="19"/>
  <c r="C40" i="19"/>
  <c r="P39" i="19"/>
  <c r="O39" i="19"/>
  <c r="N39" i="19"/>
  <c r="M39" i="19"/>
  <c r="L39" i="19"/>
  <c r="H39" i="19"/>
  <c r="G39" i="19"/>
  <c r="F39" i="19"/>
  <c r="E39" i="19"/>
  <c r="D39" i="19"/>
  <c r="C39" i="19"/>
  <c r="P38" i="19"/>
  <c r="O38" i="19"/>
  <c r="N38" i="19"/>
  <c r="M38" i="19"/>
  <c r="L38" i="19"/>
  <c r="H38" i="19"/>
  <c r="G38" i="19"/>
  <c r="F38" i="19"/>
  <c r="E38" i="19"/>
  <c r="D38" i="19"/>
  <c r="C38" i="19"/>
  <c r="P37" i="19"/>
  <c r="O37" i="19"/>
  <c r="N37" i="19"/>
  <c r="M37" i="19"/>
  <c r="L37" i="19"/>
  <c r="H37" i="19"/>
  <c r="G37" i="19"/>
  <c r="F37" i="19"/>
  <c r="E37" i="19"/>
  <c r="D37" i="19"/>
  <c r="C37" i="19"/>
  <c r="P36" i="19"/>
  <c r="O36" i="19"/>
  <c r="N36" i="19"/>
  <c r="M36" i="19"/>
  <c r="L36" i="19"/>
  <c r="H36" i="19"/>
  <c r="G36" i="19"/>
  <c r="F36" i="19"/>
  <c r="E36" i="19"/>
  <c r="D36" i="19"/>
  <c r="C36" i="19"/>
  <c r="P35" i="19"/>
  <c r="O35" i="19"/>
  <c r="N35" i="19"/>
  <c r="M35" i="19"/>
  <c r="L35" i="19"/>
  <c r="H35" i="19"/>
  <c r="G35" i="19"/>
  <c r="F35" i="19"/>
  <c r="E35" i="19"/>
  <c r="D35" i="19"/>
  <c r="C35" i="19"/>
  <c r="P34" i="19"/>
  <c r="O34" i="19"/>
  <c r="N34" i="19"/>
  <c r="M34" i="19"/>
  <c r="L34" i="19"/>
  <c r="H34" i="19"/>
  <c r="G34" i="19"/>
  <c r="F34" i="19"/>
  <c r="E34" i="19"/>
  <c r="D34" i="19"/>
  <c r="C34" i="19"/>
  <c r="P33" i="19"/>
  <c r="O33" i="19"/>
  <c r="N33" i="19"/>
  <c r="M33" i="19"/>
  <c r="L33" i="19"/>
  <c r="H33" i="19"/>
  <c r="G33" i="19"/>
  <c r="F33" i="19"/>
  <c r="E33" i="19"/>
  <c r="D33" i="19"/>
  <c r="C33" i="19"/>
  <c r="P32" i="19"/>
  <c r="O32" i="19"/>
  <c r="N32" i="19"/>
  <c r="M32" i="19"/>
  <c r="L32" i="19"/>
  <c r="H32" i="19"/>
  <c r="G32" i="19"/>
  <c r="F32" i="19"/>
  <c r="E32" i="19"/>
  <c r="D32" i="19"/>
  <c r="C32" i="19"/>
  <c r="P31" i="19"/>
  <c r="O31" i="19"/>
  <c r="N31" i="19"/>
  <c r="M31" i="19"/>
  <c r="L31" i="19"/>
  <c r="H31" i="19"/>
  <c r="G31" i="19"/>
  <c r="F31" i="19"/>
  <c r="E31" i="19"/>
  <c r="D31" i="19"/>
  <c r="C31" i="19"/>
  <c r="P30" i="19"/>
  <c r="O30" i="19"/>
  <c r="N30" i="19"/>
  <c r="M30" i="19"/>
  <c r="L30" i="19"/>
  <c r="H30" i="19"/>
  <c r="G30" i="19"/>
  <c r="F30" i="19"/>
  <c r="E30" i="19"/>
  <c r="D30" i="19"/>
  <c r="C30" i="19"/>
  <c r="P29" i="19"/>
  <c r="O29" i="19"/>
  <c r="N29" i="19"/>
  <c r="M29" i="19"/>
  <c r="L29" i="19"/>
  <c r="H29" i="19"/>
  <c r="G29" i="19"/>
  <c r="F29" i="19"/>
  <c r="E29" i="19"/>
  <c r="D29" i="19"/>
  <c r="C29" i="19"/>
  <c r="P28" i="19"/>
  <c r="O28" i="19"/>
  <c r="N28" i="19"/>
  <c r="M28" i="19"/>
  <c r="L28" i="19"/>
  <c r="H28" i="19"/>
  <c r="G28" i="19"/>
  <c r="F28" i="19"/>
  <c r="E28" i="19"/>
  <c r="D28" i="19"/>
  <c r="C28" i="19"/>
  <c r="P27" i="19"/>
  <c r="O27" i="19"/>
  <c r="N27" i="19"/>
  <c r="M27" i="19"/>
  <c r="L27" i="19"/>
  <c r="H27" i="19"/>
  <c r="G27" i="19"/>
  <c r="F27" i="19"/>
  <c r="E27" i="19"/>
  <c r="D27" i="19"/>
  <c r="C27" i="19"/>
  <c r="P26" i="19"/>
  <c r="O26" i="19"/>
  <c r="N26" i="19"/>
  <c r="M26" i="19"/>
  <c r="L26" i="19"/>
  <c r="H26" i="19"/>
  <c r="G26" i="19"/>
  <c r="F26" i="19"/>
  <c r="E26" i="19"/>
  <c r="D26" i="19"/>
  <c r="C26" i="19"/>
  <c r="P25" i="19"/>
  <c r="O25" i="19"/>
  <c r="N25" i="19"/>
  <c r="M25" i="19"/>
  <c r="L25" i="19"/>
  <c r="H25" i="19"/>
  <c r="G25" i="19"/>
  <c r="F25" i="19"/>
  <c r="E25" i="19"/>
  <c r="D25" i="19"/>
  <c r="C25" i="19"/>
  <c r="P24" i="19"/>
  <c r="O24" i="19"/>
  <c r="N24" i="19"/>
  <c r="M24" i="19"/>
  <c r="L24" i="19"/>
  <c r="H24" i="19"/>
  <c r="G24" i="19"/>
  <c r="F24" i="19"/>
  <c r="E24" i="19"/>
  <c r="D24" i="19"/>
  <c r="C24" i="19"/>
  <c r="P23" i="19"/>
  <c r="O23" i="19"/>
  <c r="N23" i="19"/>
  <c r="M23" i="19"/>
  <c r="L23" i="19"/>
  <c r="H23" i="19"/>
  <c r="G23" i="19"/>
  <c r="F23" i="19"/>
  <c r="E23" i="19"/>
  <c r="D23" i="19"/>
  <c r="C23" i="19"/>
  <c r="P22" i="19"/>
  <c r="O22" i="19"/>
  <c r="N22" i="19"/>
  <c r="M22" i="19"/>
  <c r="L22" i="19"/>
  <c r="H22" i="19"/>
  <c r="G22" i="19"/>
  <c r="F22" i="19"/>
  <c r="E22" i="19"/>
  <c r="D22" i="19"/>
  <c r="C22" i="19"/>
  <c r="P21" i="19"/>
  <c r="O21" i="19"/>
  <c r="N21" i="19"/>
  <c r="M21" i="19"/>
  <c r="L21" i="19"/>
  <c r="H21" i="19"/>
  <c r="G21" i="19"/>
  <c r="F21" i="19"/>
  <c r="E21" i="19"/>
  <c r="D21" i="19"/>
  <c r="C21" i="19"/>
  <c r="P20" i="19"/>
  <c r="O20" i="19"/>
  <c r="N20" i="19"/>
  <c r="M20" i="19"/>
  <c r="L20" i="19"/>
  <c r="H20" i="19"/>
  <c r="G20" i="19"/>
  <c r="F20" i="19"/>
  <c r="E20" i="19"/>
  <c r="D20" i="19"/>
  <c r="C20" i="19"/>
  <c r="P19" i="19"/>
  <c r="O19" i="19"/>
  <c r="N19" i="19"/>
  <c r="M19" i="19"/>
  <c r="L19" i="19"/>
  <c r="H19" i="19"/>
  <c r="G19" i="19"/>
  <c r="F19" i="19"/>
  <c r="E19" i="19"/>
  <c r="D19" i="19"/>
  <c r="C19" i="19"/>
  <c r="P18" i="19"/>
  <c r="O18" i="19"/>
  <c r="N18" i="19"/>
  <c r="M18" i="19"/>
  <c r="L18" i="19"/>
  <c r="H18" i="19"/>
  <c r="G18" i="19"/>
  <c r="F18" i="19"/>
  <c r="E18" i="19"/>
  <c r="D18" i="19"/>
  <c r="C18" i="19"/>
  <c r="P17" i="19"/>
  <c r="O17" i="19"/>
  <c r="N17" i="19"/>
  <c r="M17" i="19"/>
  <c r="L17" i="19"/>
  <c r="H17" i="19"/>
  <c r="G17" i="19"/>
  <c r="F17" i="19"/>
  <c r="E17" i="19"/>
  <c r="D17" i="19"/>
  <c r="C17" i="19"/>
  <c r="P16" i="19"/>
  <c r="O16" i="19"/>
  <c r="N16" i="19"/>
  <c r="M16" i="19"/>
  <c r="L16" i="19"/>
  <c r="H16" i="19"/>
  <c r="G16" i="19"/>
  <c r="F16" i="19"/>
  <c r="E16" i="19"/>
  <c r="D16" i="19"/>
  <c r="C16" i="19"/>
  <c r="P15" i="19"/>
  <c r="O15" i="19"/>
  <c r="N15" i="19"/>
  <c r="M15" i="19"/>
  <c r="L15" i="19"/>
  <c r="H15" i="19"/>
  <c r="G15" i="19"/>
  <c r="F15" i="19"/>
  <c r="E15" i="19"/>
  <c r="D15" i="19"/>
  <c r="C15" i="19"/>
  <c r="P14" i="19"/>
  <c r="O14" i="19"/>
  <c r="N14" i="19"/>
  <c r="M14" i="19"/>
  <c r="L14" i="19"/>
  <c r="H14" i="19"/>
  <c r="G14" i="19"/>
  <c r="F14" i="19"/>
  <c r="E14" i="19"/>
  <c r="D14" i="19"/>
  <c r="C14" i="19"/>
  <c r="P13" i="19"/>
  <c r="O13" i="19"/>
  <c r="N13" i="19"/>
  <c r="M13" i="19"/>
  <c r="L13" i="19"/>
  <c r="H13" i="19"/>
  <c r="G13" i="19"/>
  <c r="F13" i="19"/>
  <c r="E13" i="19"/>
  <c r="D13" i="19"/>
  <c r="C13" i="19"/>
  <c r="P12" i="19"/>
  <c r="O12" i="19"/>
  <c r="N12" i="19"/>
  <c r="M12" i="19"/>
  <c r="L12" i="19"/>
  <c r="H12" i="19"/>
  <c r="G12" i="19"/>
  <c r="F12" i="19"/>
  <c r="E12" i="19"/>
  <c r="D12" i="19"/>
  <c r="C12" i="19"/>
  <c r="P11" i="19"/>
  <c r="O11" i="19"/>
  <c r="N11" i="19"/>
  <c r="M11" i="19"/>
  <c r="L11" i="19"/>
  <c r="H11" i="19"/>
  <c r="G11" i="19"/>
  <c r="F11" i="19"/>
  <c r="E11" i="19"/>
  <c r="D11" i="19"/>
  <c r="C11" i="19"/>
  <c r="P10" i="19"/>
  <c r="O10" i="19"/>
  <c r="N10" i="19"/>
  <c r="M10" i="19"/>
  <c r="L10" i="19"/>
  <c r="H10" i="19"/>
  <c r="G10" i="19"/>
  <c r="F10" i="19"/>
  <c r="E10" i="19"/>
  <c r="D10" i="19"/>
  <c r="C10" i="19"/>
  <c r="P9" i="19"/>
  <c r="O9" i="19"/>
  <c r="N9" i="19"/>
  <c r="M9" i="19"/>
  <c r="L9" i="19"/>
  <c r="H9" i="19"/>
  <c r="G9" i="19"/>
  <c r="F9" i="19"/>
  <c r="E9" i="19"/>
  <c r="D9" i="19"/>
  <c r="C9" i="19"/>
  <c r="P8" i="19"/>
  <c r="O8" i="19"/>
  <c r="N8" i="19"/>
  <c r="M8" i="19"/>
  <c r="L8" i="19"/>
  <c r="H8" i="19"/>
  <c r="G8" i="19"/>
  <c r="F8" i="19"/>
  <c r="E8" i="19"/>
  <c r="D8" i="19"/>
  <c r="C8" i="19"/>
  <c r="P7" i="19"/>
  <c r="O7" i="19"/>
  <c r="N7" i="19"/>
  <c r="M7" i="19"/>
  <c r="L7" i="19"/>
  <c r="H7" i="19"/>
  <c r="G7" i="19"/>
  <c r="F7" i="19"/>
  <c r="E7" i="19"/>
  <c r="D7" i="19"/>
  <c r="C7" i="19"/>
  <c r="P6" i="19"/>
  <c r="O6" i="19"/>
  <c r="N6" i="19"/>
  <c r="M6" i="19"/>
  <c r="L6" i="19"/>
  <c r="H6" i="19"/>
  <c r="G6" i="19"/>
  <c r="F6" i="19"/>
  <c r="E6" i="19"/>
  <c r="D6" i="19"/>
  <c r="C6" i="19"/>
  <c r="P5" i="19"/>
  <c r="O5" i="19"/>
  <c r="N5" i="19"/>
  <c r="M5" i="19"/>
  <c r="L5" i="19"/>
  <c r="H5" i="19"/>
  <c r="G5" i="19"/>
  <c r="F5" i="19"/>
  <c r="E5" i="19"/>
  <c r="D5" i="19"/>
  <c r="C5" i="19"/>
  <c r="P4" i="19"/>
  <c r="O4" i="19"/>
  <c r="N4" i="19"/>
  <c r="M4" i="19"/>
  <c r="L4" i="19"/>
  <c r="H4" i="19"/>
  <c r="G4" i="19"/>
  <c r="F4" i="19"/>
  <c r="E4" i="19"/>
  <c r="D4" i="19"/>
  <c r="C4" i="19"/>
  <c r="P3" i="19"/>
  <c r="O3" i="19"/>
  <c r="N3" i="19"/>
  <c r="M3" i="19"/>
  <c r="L3" i="19"/>
  <c r="H3" i="19"/>
  <c r="G3" i="19"/>
  <c r="F3" i="19"/>
  <c r="E3" i="19"/>
  <c r="D3" i="19"/>
  <c r="C3" i="19"/>
  <c r="E362" i="24"/>
  <c r="E35" i="27"/>
  <c r="E39" i="27"/>
  <c r="F606" i="24"/>
  <c r="I606" i="24"/>
  <c r="F332" i="24"/>
  <c r="F340" i="24"/>
  <c r="F348" i="24"/>
  <c r="F352" i="24"/>
  <c r="F356" i="24"/>
  <c r="G384" i="24"/>
  <c r="F333" i="24"/>
  <c r="F337" i="24"/>
  <c r="F341" i="24"/>
  <c r="F349" i="24"/>
  <c r="F353" i="24"/>
  <c r="F357" i="24"/>
  <c r="E360" i="24"/>
  <c r="F334" i="24"/>
  <c r="F338" i="24"/>
  <c r="F342" i="24"/>
  <c r="F346" i="24"/>
  <c r="F350" i="24"/>
  <c r="F354" i="24"/>
  <c r="F358" i="24"/>
  <c r="E370" i="24"/>
  <c r="G382" i="24"/>
  <c r="F336" i="24"/>
  <c r="F344" i="24"/>
  <c r="G362" i="24"/>
  <c r="G380" i="24"/>
  <c r="F331" i="24"/>
  <c r="F339" i="24"/>
  <c r="F343" i="24"/>
  <c r="F347" i="24"/>
  <c r="F351" i="24"/>
  <c r="F355" i="24"/>
  <c r="F359" i="24"/>
  <c r="E368" i="24"/>
  <c r="G606" i="24"/>
  <c r="G613" i="24"/>
  <c r="E366" i="24"/>
  <c r="E374" i="24"/>
  <c r="E364" i="24"/>
  <c r="E372" i="24"/>
  <c r="H397" i="24"/>
  <c r="D397" i="24"/>
  <c r="I397" i="24"/>
  <c r="B397" i="24"/>
  <c r="H409" i="24"/>
  <c r="D409" i="24"/>
  <c r="I409" i="24" s="1"/>
  <c r="B409" i="24"/>
  <c r="H425" i="24"/>
  <c r="D425" i="24"/>
  <c r="I425" i="24"/>
  <c r="B425" i="24"/>
  <c r="H437" i="24"/>
  <c r="D437" i="24"/>
  <c r="I437" i="24"/>
  <c r="B437" i="24"/>
  <c r="E378" i="24"/>
  <c r="H467" i="24"/>
  <c r="B467" i="24"/>
  <c r="D467" i="24"/>
  <c r="I467" i="24" s="1"/>
  <c r="H471" i="24"/>
  <c r="B471" i="24"/>
  <c r="D471" i="24"/>
  <c r="I471" i="24"/>
  <c r="H475" i="24"/>
  <c r="B475" i="24"/>
  <c r="D475" i="24"/>
  <c r="I475" i="24" s="1"/>
  <c r="H479" i="24"/>
  <c r="B479" i="24"/>
  <c r="D479" i="24"/>
  <c r="I479" i="24"/>
  <c r="H483" i="24"/>
  <c r="B483" i="24"/>
  <c r="D483" i="24"/>
  <c r="I483" i="24"/>
  <c r="H487" i="24"/>
  <c r="B487" i="24"/>
  <c r="D487" i="24"/>
  <c r="I487" i="24" s="1"/>
  <c r="H491" i="24"/>
  <c r="B491" i="24"/>
  <c r="D491" i="24"/>
  <c r="I491" i="24"/>
  <c r="H495" i="24"/>
  <c r="B495" i="24"/>
  <c r="D495" i="24"/>
  <c r="I495" i="24"/>
  <c r="H499" i="24"/>
  <c r="B499" i="24"/>
  <c r="D499" i="24"/>
  <c r="I499" i="24"/>
  <c r="H503" i="24"/>
  <c r="B503" i="24"/>
  <c r="D503" i="24"/>
  <c r="I503" i="24" s="1"/>
  <c r="H507" i="24"/>
  <c r="B507" i="24"/>
  <c r="D507" i="24"/>
  <c r="I507" i="24"/>
  <c r="H511" i="24"/>
  <c r="B511" i="24"/>
  <c r="D511" i="24"/>
  <c r="I511" i="24"/>
  <c r="H515" i="24"/>
  <c r="B515" i="24"/>
  <c r="D515" i="24"/>
  <c r="I515" i="24"/>
  <c r="H519" i="24"/>
  <c r="B519" i="24"/>
  <c r="D519" i="24"/>
  <c r="I519" i="24" s="1"/>
  <c r="H523" i="24"/>
  <c r="B523" i="24"/>
  <c r="D523" i="24"/>
  <c r="I523" i="24"/>
  <c r="H527" i="24"/>
  <c r="B527" i="24"/>
  <c r="D527" i="24"/>
  <c r="I527" i="24"/>
  <c r="H531" i="24"/>
  <c r="B531" i="24"/>
  <c r="D531" i="24"/>
  <c r="I531" i="24" s="1"/>
  <c r="H535" i="24"/>
  <c r="B535" i="24"/>
  <c r="D535" i="24"/>
  <c r="I535" i="24"/>
  <c r="H539" i="24"/>
  <c r="B539" i="24"/>
  <c r="D539" i="24"/>
  <c r="I539" i="24"/>
  <c r="H543" i="24"/>
  <c r="B543" i="24"/>
  <c r="D543" i="24"/>
  <c r="I543" i="24" s="1"/>
  <c r="H547" i="24"/>
  <c r="B547" i="24"/>
  <c r="D547" i="24"/>
  <c r="I547" i="24"/>
  <c r="H393" i="24"/>
  <c r="D393" i="24"/>
  <c r="I393" i="24" s="1"/>
  <c r="B393" i="24"/>
  <c r="H405" i="24"/>
  <c r="D405" i="24"/>
  <c r="I405" i="24"/>
  <c r="B405" i="24"/>
  <c r="H417" i="24"/>
  <c r="D417" i="24"/>
  <c r="I417" i="24"/>
  <c r="B417" i="24"/>
  <c r="H429" i="24"/>
  <c r="D429" i="24"/>
  <c r="I429" i="24"/>
  <c r="B429" i="24"/>
  <c r="H441" i="24"/>
  <c r="D441" i="24"/>
  <c r="I441" i="24" s="1"/>
  <c r="B441" i="24"/>
  <c r="D449" i="24"/>
  <c r="B449" i="24"/>
  <c r="H457" i="24"/>
  <c r="D457" i="24"/>
  <c r="I457" i="24"/>
  <c r="B457" i="24"/>
  <c r="J361" i="24"/>
  <c r="J363" i="24"/>
  <c r="J365" i="24"/>
  <c r="J367" i="24"/>
  <c r="J369" i="24"/>
  <c r="J371" i="24"/>
  <c r="J373" i="24"/>
  <c r="J375" i="24"/>
  <c r="H391" i="24"/>
  <c r="D391" i="24"/>
  <c r="I391" i="24" s="1"/>
  <c r="B391" i="24"/>
  <c r="H395" i="24"/>
  <c r="D395" i="24"/>
  <c r="I395" i="24"/>
  <c r="B395" i="24"/>
  <c r="H399" i="24"/>
  <c r="D399" i="24"/>
  <c r="I399" i="24"/>
  <c r="B399" i="24"/>
  <c r="H403" i="24"/>
  <c r="D403" i="24"/>
  <c r="I403" i="24"/>
  <c r="B403" i="24"/>
  <c r="H407" i="24"/>
  <c r="D407" i="24"/>
  <c r="I407" i="24" s="1"/>
  <c r="B407" i="24"/>
  <c r="H411" i="24"/>
  <c r="D411" i="24"/>
  <c r="I411" i="24"/>
  <c r="B411" i="24"/>
  <c r="H415" i="24"/>
  <c r="D415" i="24"/>
  <c r="I415" i="24"/>
  <c r="B415" i="24"/>
  <c r="H419" i="24"/>
  <c r="D419" i="24"/>
  <c r="I419" i="24"/>
  <c r="B419" i="24"/>
  <c r="H423" i="24"/>
  <c r="D423" i="24"/>
  <c r="I423" i="24" s="1"/>
  <c r="B423" i="24"/>
  <c r="H427" i="24"/>
  <c r="D427" i="24"/>
  <c r="I427" i="24"/>
  <c r="B427" i="24"/>
  <c r="H431" i="24"/>
  <c r="D431" i="24"/>
  <c r="I431" i="24"/>
  <c r="B431" i="24"/>
  <c r="H435" i="24"/>
  <c r="D435" i="24"/>
  <c r="I435" i="24"/>
  <c r="B435" i="24"/>
  <c r="H439" i="24"/>
  <c r="D439" i="24"/>
  <c r="I439" i="24" s="1"/>
  <c r="B439" i="24"/>
  <c r="H443" i="24"/>
  <c r="D443" i="24"/>
  <c r="I443" i="24"/>
  <c r="B443" i="24"/>
  <c r="H447" i="24"/>
  <c r="D447" i="24"/>
  <c r="I447" i="24"/>
  <c r="B447" i="24"/>
  <c r="H451" i="24"/>
  <c r="D451" i="24"/>
  <c r="I451" i="24" s="1"/>
  <c r="B451" i="24"/>
  <c r="H455" i="24"/>
  <c r="D455" i="24"/>
  <c r="I455" i="24"/>
  <c r="B455" i="24"/>
  <c r="H460" i="24"/>
  <c r="D460" i="24"/>
  <c r="I460" i="24"/>
  <c r="B460" i="24"/>
  <c r="H464" i="24"/>
  <c r="D464" i="24"/>
  <c r="I464" i="24" s="1"/>
  <c r="B464" i="24"/>
  <c r="J377" i="24"/>
  <c r="H389" i="24"/>
  <c r="D389" i="24"/>
  <c r="I389" i="24"/>
  <c r="B389" i="24"/>
  <c r="H401" i="24"/>
  <c r="D401" i="24"/>
  <c r="I401" i="24"/>
  <c r="B401" i="24"/>
  <c r="H413" i="24"/>
  <c r="D413" i="24"/>
  <c r="I413" i="24"/>
  <c r="B413" i="24"/>
  <c r="H421" i="24"/>
  <c r="D421" i="24"/>
  <c r="I421" i="24"/>
  <c r="B421" i="24"/>
  <c r="H433" i="24"/>
  <c r="D433" i="24"/>
  <c r="I433" i="24"/>
  <c r="B433" i="24"/>
  <c r="H445" i="24"/>
  <c r="D445" i="24"/>
  <c r="I445" i="24" s="1"/>
  <c r="B445" i="24"/>
  <c r="H453" i="24"/>
  <c r="D453" i="24"/>
  <c r="I453" i="24"/>
  <c r="B453" i="24"/>
  <c r="H462" i="24"/>
  <c r="D462" i="24"/>
  <c r="I462" i="24"/>
  <c r="B462" i="24"/>
  <c r="E376" i="24"/>
  <c r="H469" i="24"/>
  <c r="B469" i="24"/>
  <c r="D469" i="24"/>
  <c r="I469" i="24"/>
  <c r="H473" i="24"/>
  <c r="B473" i="24"/>
  <c r="D473" i="24"/>
  <c r="I473" i="24" s="1"/>
  <c r="H477" i="24"/>
  <c r="B477" i="24"/>
  <c r="D477" i="24"/>
  <c r="I477" i="24"/>
  <c r="H481" i="24"/>
  <c r="B481" i="24"/>
  <c r="D481" i="24"/>
  <c r="I481" i="24"/>
  <c r="H485" i="24"/>
  <c r="B485" i="24"/>
  <c r="D485" i="24"/>
  <c r="I485" i="24"/>
  <c r="H489" i="24"/>
  <c r="B489" i="24"/>
  <c r="D489" i="24"/>
  <c r="I489" i="24" s="1"/>
  <c r="H493" i="24"/>
  <c r="B493" i="24"/>
  <c r="D493" i="24"/>
  <c r="I493" i="24"/>
  <c r="H497" i="24"/>
  <c r="B497" i="24"/>
  <c r="D497" i="24"/>
  <c r="I497" i="24"/>
  <c r="H501" i="24"/>
  <c r="B501" i="24"/>
  <c r="D501" i="24"/>
  <c r="I501" i="24" s="1"/>
  <c r="H505" i="24"/>
  <c r="B505" i="24"/>
  <c r="D505" i="24"/>
  <c r="I505" i="24"/>
  <c r="H509" i="24"/>
  <c r="B509" i="24"/>
  <c r="D509" i="24"/>
  <c r="I509" i="24"/>
  <c r="B513" i="24"/>
  <c r="D513" i="24"/>
  <c r="H517" i="24"/>
  <c r="B517" i="24"/>
  <c r="D517" i="24"/>
  <c r="I517" i="24"/>
  <c r="H521" i="24"/>
  <c r="B521" i="24"/>
  <c r="D521" i="24"/>
  <c r="I521" i="24"/>
  <c r="H525" i="24"/>
  <c r="B525" i="24"/>
  <c r="D525" i="24"/>
  <c r="I525" i="24"/>
  <c r="H529" i="24"/>
  <c r="B529" i="24"/>
  <c r="D529" i="24"/>
  <c r="I529" i="24"/>
  <c r="H533" i="24"/>
  <c r="B533" i="24"/>
  <c r="D533" i="24"/>
  <c r="I533" i="24"/>
  <c r="H537" i="24"/>
  <c r="B537" i="24"/>
  <c r="D537" i="24"/>
  <c r="I537" i="24"/>
  <c r="H541" i="24"/>
  <c r="B541" i="24"/>
  <c r="D541" i="24"/>
  <c r="I541" i="24"/>
  <c r="H545" i="24"/>
  <c r="B545" i="24"/>
  <c r="D545" i="24"/>
  <c r="I545" i="24" s="1"/>
  <c r="H387" i="24"/>
  <c r="D549" i="24"/>
  <c r="I549" i="24" s="1"/>
  <c r="H549" i="24"/>
  <c r="D553" i="24"/>
  <c r="I553" i="24" s="1"/>
  <c r="H553" i="24"/>
  <c r="D557" i="24"/>
  <c r="I557" i="24"/>
  <c r="H557" i="24"/>
  <c r="D561" i="24"/>
  <c r="I561" i="24"/>
  <c r="H561" i="24"/>
  <c r="D565" i="24"/>
  <c r="I565" i="24"/>
  <c r="H565" i="24"/>
  <c r="D569" i="24"/>
  <c r="I569" i="24" s="1"/>
  <c r="H569" i="24"/>
  <c r="D573" i="24"/>
  <c r="I573" i="24"/>
  <c r="H573" i="24"/>
  <c r="D577" i="24"/>
  <c r="I577" i="24"/>
  <c r="H577" i="24"/>
  <c r="D581" i="24"/>
  <c r="I581" i="24"/>
  <c r="H581" i="24"/>
  <c r="D585" i="24"/>
  <c r="I585" i="24" s="1"/>
  <c r="H585" i="24"/>
  <c r="D589" i="24"/>
  <c r="I589" i="24"/>
  <c r="H589" i="24"/>
  <c r="D593" i="24"/>
  <c r="I593" i="24"/>
  <c r="H593" i="24"/>
  <c r="D597" i="24"/>
  <c r="I597" i="24"/>
  <c r="H597" i="24"/>
  <c r="D601" i="24"/>
  <c r="I601" i="24" s="1"/>
  <c r="H601" i="24"/>
  <c r="D605" i="24"/>
  <c r="I605" i="24"/>
  <c r="H605" i="24"/>
  <c r="H610" i="24"/>
  <c r="H617" i="24"/>
  <c r="H633" i="24"/>
  <c r="D637" i="24"/>
  <c r="I637" i="24"/>
  <c r="H637" i="24"/>
  <c r="D641" i="24"/>
  <c r="I641" i="24"/>
  <c r="H641" i="24"/>
  <c r="D645" i="24"/>
  <c r="I645" i="24" s="1"/>
  <c r="H645" i="24"/>
  <c r="D649" i="24"/>
  <c r="I649" i="24" s="1"/>
  <c r="H649" i="24"/>
  <c r="D653" i="24"/>
  <c r="I653" i="24"/>
  <c r="H653" i="24"/>
  <c r="D657" i="24"/>
  <c r="I657" i="24"/>
  <c r="H657" i="24"/>
  <c r="D661" i="24"/>
  <c r="I661" i="24"/>
  <c r="H661" i="24"/>
  <c r="D665" i="24"/>
  <c r="I665" i="24"/>
  <c r="H665" i="24"/>
  <c r="D669" i="24"/>
  <c r="I669" i="24"/>
  <c r="H669" i="24"/>
  <c r="D673" i="24"/>
  <c r="I673" i="24"/>
  <c r="H673" i="24"/>
  <c r="G38" i="27"/>
  <c r="H379" i="24"/>
  <c r="H381" i="24"/>
  <c r="H383" i="24"/>
  <c r="H385" i="24"/>
  <c r="J513" i="24"/>
  <c r="H513" i="24"/>
  <c r="D550" i="24"/>
  <c r="I550" i="24"/>
  <c r="H550" i="24"/>
  <c r="D554" i="24"/>
  <c r="I554" i="24"/>
  <c r="H554" i="24"/>
  <c r="D558" i="24"/>
  <c r="I558" i="24" s="1"/>
  <c r="H558" i="24"/>
  <c r="D562" i="24"/>
  <c r="I562" i="24" s="1"/>
  <c r="H562" i="24"/>
  <c r="D566" i="24"/>
  <c r="I566" i="24"/>
  <c r="H566" i="24"/>
  <c r="D570" i="24"/>
  <c r="I570" i="24"/>
  <c r="H570" i="24"/>
  <c r="D574" i="24"/>
  <c r="I574" i="24"/>
  <c r="H574" i="24"/>
  <c r="D578" i="24"/>
  <c r="I578" i="24"/>
  <c r="H578" i="24"/>
  <c r="D582" i="24"/>
  <c r="I582" i="24" s="1"/>
  <c r="H582" i="24"/>
  <c r="D586" i="24"/>
  <c r="I586" i="24"/>
  <c r="H586" i="24"/>
  <c r="D590" i="24"/>
  <c r="I590" i="24"/>
  <c r="H590" i="24"/>
  <c r="D594" i="24"/>
  <c r="I594" i="24"/>
  <c r="H594" i="24"/>
  <c r="D598" i="24"/>
  <c r="I598" i="24" s="1"/>
  <c r="H598" i="24"/>
  <c r="D602" i="24"/>
  <c r="I602" i="24"/>
  <c r="H602" i="24"/>
  <c r="H607" i="24"/>
  <c r="H611" i="24"/>
  <c r="H614" i="24"/>
  <c r="H618" i="24"/>
  <c r="H634" i="24"/>
  <c r="D638" i="24"/>
  <c r="I638" i="24"/>
  <c r="H638" i="24"/>
  <c r="D642" i="24"/>
  <c r="I642" i="24" s="1"/>
  <c r="H642" i="24"/>
  <c r="D646" i="24"/>
  <c r="I646" i="24"/>
  <c r="H646" i="24"/>
  <c r="D650" i="24"/>
  <c r="I650" i="24"/>
  <c r="H650" i="24"/>
  <c r="D654" i="24"/>
  <c r="I654" i="24"/>
  <c r="H654" i="24"/>
  <c r="D658" i="24"/>
  <c r="I658" i="24" s="1"/>
  <c r="H658" i="24"/>
  <c r="D662" i="24"/>
  <c r="I662" i="24"/>
  <c r="H662" i="24"/>
  <c r="D666" i="24"/>
  <c r="I666" i="24"/>
  <c r="H666" i="24"/>
  <c r="D670" i="24"/>
  <c r="I670" i="24"/>
  <c r="H670" i="24"/>
  <c r="D674" i="24"/>
  <c r="I674" i="24" s="1"/>
  <c r="H674" i="24"/>
  <c r="D4" i="27"/>
  <c r="D5" i="27"/>
  <c r="D6" i="27"/>
  <c r="D7" i="27"/>
  <c r="D8" i="27"/>
  <c r="D9" i="27"/>
  <c r="D10" i="27"/>
  <c r="D17" i="27"/>
  <c r="D18" i="27"/>
  <c r="D19" i="27"/>
  <c r="D20" i="27"/>
  <c r="D21" i="27"/>
  <c r="D22" i="27"/>
  <c r="D23" i="27"/>
  <c r="G36" i="27"/>
  <c r="G39" i="27"/>
  <c r="D551" i="24"/>
  <c r="I551" i="24"/>
  <c r="H551" i="24"/>
  <c r="D555" i="24"/>
  <c r="I555" i="24" s="1"/>
  <c r="H555" i="24"/>
  <c r="D559" i="24"/>
  <c r="I559" i="24"/>
  <c r="H559" i="24"/>
  <c r="D563" i="24"/>
  <c r="I563" i="24"/>
  <c r="H563" i="24"/>
  <c r="J567" i="24"/>
  <c r="H567" i="24"/>
  <c r="D571" i="24"/>
  <c r="I571" i="24" s="1"/>
  <c r="H571" i="24"/>
  <c r="D575" i="24"/>
  <c r="I575" i="24"/>
  <c r="H575" i="24"/>
  <c r="D579" i="24"/>
  <c r="I579" i="24"/>
  <c r="H579" i="24"/>
  <c r="D583" i="24"/>
  <c r="I583" i="24"/>
  <c r="H583" i="24"/>
  <c r="D587" i="24"/>
  <c r="I587" i="24"/>
  <c r="H587" i="24"/>
  <c r="D591" i="24"/>
  <c r="I591" i="24"/>
  <c r="H591" i="24"/>
  <c r="D595" i="24"/>
  <c r="I595" i="24"/>
  <c r="H595" i="24"/>
  <c r="D599" i="24"/>
  <c r="I599" i="24" s="1"/>
  <c r="H599" i="24"/>
  <c r="D603" i="24"/>
  <c r="I603" i="24" s="1"/>
  <c r="H603" i="24"/>
  <c r="H608" i="24"/>
  <c r="H612" i="24"/>
  <c r="H615" i="24"/>
  <c r="H619" i="24"/>
  <c r="H631" i="24"/>
  <c r="D635" i="24"/>
  <c r="I635" i="24"/>
  <c r="H635" i="24"/>
  <c r="D639" i="24"/>
  <c r="I639" i="24"/>
  <c r="H639" i="24"/>
  <c r="D643" i="24"/>
  <c r="I643" i="24" s="1"/>
  <c r="H643" i="24"/>
  <c r="D647" i="24"/>
  <c r="I647" i="24"/>
  <c r="H647" i="24"/>
  <c r="D651" i="24"/>
  <c r="I651" i="24"/>
  <c r="H651" i="24"/>
  <c r="D655" i="24"/>
  <c r="I655" i="24"/>
  <c r="H655" i="24"/>
  <c r="D659" i="24"/>
  <c r="I659" i="24" s="1"/>
  <c r="H659" i="24"/>
  <c r="D663" i="24"/>
  <c r="I663" i="24"/>
  <c r="H663" i="24"/>
  <c r="D667" i="24"/>
  <c r="I667" i="24"/>
  <c r="H667" i="24"/>
  <c r="D671" i="24"/>
  <c r="I671" i="24"/>
  <c r="H671" i="24"/>
  <c r="D675" i="24"/>
  <c r="I675" i="24" s="1"/>
  <c r="H675" i="24"/>
  <c r="G34" i="27"/>
  <c r="G37" i="27"/>
  <c r="H380" i="24"/>
  <c r="H382" i="24"/>
  <c r="H384" i="24"/>
  <c r="J449" i="24"/>
  <c r="H449" i="24"/>
  <c r="D466" i="24"/>
  <c r="I466" i="24"/>
  <c r="H466" i="24"/>
  <c r="D502" i="24"/>
  <c r="I502" i="24" s="1"/>
  <c r="H502" i="24"/>
  <c r="D504" i="24"/>
  <c r="I504" i="24"/>
  <c r="H504" i="24"/>
  <c r="D506" i="24"/>
  <c r="I506" i="24"/>
  <c r="H506" i="24"/>
  <c r="D508" i="24"/>
  <c r="I508" i="24"/>
  <c r="H508" i="24"/>
  <c r="D510" i="24"/>
  <c r="I510" i="24"/>
  <c r="H510" i="24"/>
  <c r="D512" i="24"/>
  <c r="I512" i="24" s="1"/>
  <c r="H512" i="24"/>
  <c r="D514" i="24"/>
  <c r="I514" i="24" s="1"/>
  <c r="H514" i="24"/>
  <c r="D516" i="24"/>
  <c r="I516" i="24"/>
  <c r="H516" i="24"/>
  <c r="D518" i="24"/>
  <c r="I518" i="24"/>
  <c r="H518" i="24"/>
  <c r="D520" i="24"/>
  <c r="I520" i="24"/>
  <c r="H520" i="24"/>
  <c r="D522" i="24"/>
  <c r="I522" i="24"/>
  <c r="H522" i="24"/>
  <c r="D524" i="24"/>
  <c r="I524" i="24" s="1"/>
  <c r="H524" i="24"/>
  <c r="D526" i="24"/>
  <c r="I526" i="24" s="1"/>
  <c r="H526" i="24"/>
  <c r="D528" i="24"/>
  <c r="I528" i="24"/>
  <c r="H528" i="24"/>
  <c r="D530" i="24"/>
  <c r="I530" i="24"/>
  <c r="H530" i="24"/>
  <c r="D532" i="24"/>
  <c r="I532" i="24"/>
  <c r="H532" i="24"/>
  <c r="D534" i="24"/>
  <c r="I534" i="24"/>
  <c r="H534" i="24"/>
  <c r="D536" i="24"/>
  <c r="I536" i="24"/>
  <c r="H536" i="24"/>
  <c r="D538" i="24"/>
  <c r="I538" i="24"/>
  <c r="H538" i="24"/>
  <c r="D540" i="24"/>
  <c r="I540" i="24" s="1"/>
  <c r="H540" i="24"/>
  <c r="D542" i="24"/>
  <c r="I542" i="24" s="1"/>
  <c r="H542" i="24"/>
  <c r="D544" i="24"/>
  <c r="I544" i="24"/>
  <c r="H544" i="24"/>
  <c r="D546" i="24"/>
  <c r="I546" i="24"/>
  <c r="H546" i="24"/>
  <c r="H548" i="24"/>
  <c r="J552" i="24"/>
  <c r="H552" i="24"/>
  <c r="D556" i="24"/>
  <c r="I556" i="24"/>
  <c r="H556" i="24"/>
  <c r="D560" i="24"/>
  <c r="I560" i="24"/>
  <c r="H560" i="24"/>
  <c r="D564" i="24"/>
  <c r="I564" i="24" s="1"/>
  <c r="H564" i="24"/>
  <c r="D568" i="24"/>
  <c r="I568" i="24"/>
  <c r="H568" i="24"/>
  <c r="D572" i="24"/>
  <c r="I572" i="24"/>
  <c r="H572" i="24"/>
  <c r="D576" i="24"/>
  <c r="I576" i="24"/>
  <c r="H576" i="24"/>
  <c r="D580" i="24"/>
  <c r="I580" i="24" s="1"/>
  <c r="H580" i="24"/>
  <c r="D584" i="24"/>
  <c r="I584" i="24" s="1"/>
  <c r="H584" i="24"/>
  <c r="D588" i="24"/>
  <c r="I588" i="24" s="1"/>
  <c r="H588" i="24"/>
  <c r="D592" i="24"/>
  <c r="I592" i="24" s="1"/>
  <c r="H592" i="24"/>
  <c r="D596" i="24"/>
  <c r="I596" i="24"/>
  <c r="H596" i="24"/>
  <c r="D600" i="24"/>
  <c r="I600" i="24"/>
  <c r="H600" i="24"/>
  <c r="D604" i="24"/>
  <c r="I604" i="24"/>
  <c r="H604" i="24"/>
  <c r="H609" i="24"/>
  <c r="H613" i="24"/>
  <c r="H616" i="24"/>
  <c r="H620" i="24"/>
  <c r="H632" i="24"/>
  <c r="D636" i="24"/>
  <c r="I636" i="24" s="1"/>
  <c r="H636" i="24"/>
  <c r="D640" i="24"/>
  <c r="I640" i="24" s="1"/>
  <c r="H640" i="24"/>
  <c r="D644" i="24"/>
  <c r="I644" i="24"/>
  <c r="H644" i="24"/>
  <c r="D648" i="24"/>
  <c r="I648" i="24"/>
  <c r="H648" i="24"/>
  <c r="D652" i="24"/>
  <c r="I652" i="24"/>
  <c r="H652" i="24"/>
  <c r="D656" i="24"/>
  <c r="I656" i="24"/>
  <c r="H656" i="24"/>
  <c r="D660" i="24"/>
  <c r="I660" i="24"/>
  <c r="H660" i="24"/>
  <c r="D664" i="24"/>
  <c r="I664" i="24"/>
  <c r="H664" i="24"/>
  <c r="D668" i="24"/>
  <c r="I668" i="24" s="1"/>
  <c r="H668" i="24"/>
  <c r="D672" i="24"/>
  <c r="I672" i="24" s="1"/>
  <c r="H672" i="24"/>
  <c r="D676" i="24"/>
  <c r="I676" i="24"/>
  <c r="H676" i="24"/>
  <c r="G35" i="27"/>
  <c r="E37" i="27"/>
  <c r="B10" i="27"/>
  <c r="B6" i="27"/>
  <c r="B20" i="27"/>
  <c r="B4" i="27"/>
  <c r="B8" i="27"/>
  <c r="B18" i="27"/>
  <c r="B22" i="27"/>
  <c r="E386" i="24"/>
  <c r="D388" i="24"/>
  <c r="I388" i="24"/>
  <c r="B388" i="24"/>
  <c r="D390" i="24"/>
  <c r="I390" i="24"/>
  <c r="B390" i="24"/>
  <c r="J392" i="24"/>
  <c r="D392" i="24"/>
  <c r="B392" i="24"/>
  <c r="D394" i="24"/>
  <c r="I394" i="24" s="1"/>
  <c r="B394" i="24"/>
  <c r="D396" i="24"/>
  <c r="I396" i="24" s="1"/>
  <c r="B396" i="24"/>
  <c r="D398" i="24"/>
  <c r="I398" i="24" s="1"/>
  <c r="B398" i="24"/>
  <c r="D400" i="24"/>
  <c r="I400" i="24" s="1"/>
  <c r="B400" i="24"/>
  <c r="J402" i="24"/>
  <c r="D402" i="24"/>
  <c r="B402" i="24"/>
  <c r="D404" i="24"/>
  <c r="I404" i="24"/>
  <c r="B404" i="24"/>
  <c r="D406" i="24"/>
  <c r="I406" i="24"/>
  <c r="B406" i="24"/>
  <c r="D408" i="24"/>
  <c r="I408" i="24"/>
  <c r="B408" i="24"/>
  <c r="D410" i="24"/>
  <c r="I410" i="24"/>
  <c r="B410" i="24"/>
  <c r="D412" i="24"/>
  <c r="I412" i="24"/>
  <c r="B412" i="24"/>
  <c r="D414" i="24"/>
  <c r="I414" i="24"/>
  <c r="B414" i="24"/>
  <c r="D416" i="24"/>
  <c r="I416" i="24"/>
  <c r="B416" i="24"/>
  <c r="D418" i="24"/>
  <c r="I418" i="24"/>
  <c r="B418" i="24"/>
  <c r="D420" i="24"/>
  <c r="I420" i="24"/>
  <c r="B420" i="24"/>
  <c r="D422" i="24"/>
  <c r="I422" i="24"/>
  <c r="B422" i="24"/>
  <c r="D424" i="24"/>
  <c r="I424" i="24"/>
  <c r="B424" i="24"/>
  <c r="D426" i="24"/>
  <c r="I426" i="24"/>
  <c r="B426" i="24"/>
  <c r="D428" i="24"/>
  <c r="I428" i="24"/>
  <c r="B428" i="24"/>
  <c r="D430" i="24"/>
  <c r="I430" i="24"/>
  <c r="B430" i="24"/>
  <c r="D432" i="24"/>
  <c r="I432" i="24"/>
  <c r="B432" i="24"/>
  <c r="D434" i="24"/>
  <c r="I434" i="24"/>
  <c r="B434" i="24"/>
  <c r="D436" i="24"/>
  <c r="I436" i="24"/>
  <c r="B436" i="24"/>
  <c r="D438" i="24"/>
  <c r="I438" i="24"/>
  <c r="B438" i="24"/>
  <c r="D440" i="24"/>
  <c r="I440" i="24"/>
  <c r="B440" i="24"/>
  <c r="D442" i="24"/>
  <c r="I442" i="24"/>
  <c r="B442" i="24"/>
  <c r="D444" i="24"/>
  <c r="I444" i="24"/>
  <c r="B444" i="24"/>
  <c r="D446" i="24"/>
  <c r="I446" i="24"/>
  <c r="B446" i="24"/>
  <c r="D448" i="24"/>
  <c r="I448" i="24"/>
  <c r="B448" i="24"/>
  <c r="D450" i="24"/>
  <c r="I450" i="24"/>
  <c r="B450" i="24"/>
  <c r="D452" i="24"/>
  <c r="I452" i="24"/>
  <c r="B452" i="24"/>
  <c r="D454" i="24"/>
  <c r="I454" i="24"/>
  <c r="B454" i="24"/>
  <c r="D456" i="24"/>
  <c r="I456" i="24"/>
  <c r="B456" i="24"/>
  <c r="D458" i="24"/>
  <c r="I458" i="24"/>
  <c r="B458" i="24"/>
  <c r="D461" i="24"/>
  <c r="I461" i="24"/>
  <c r="B461" i="24"/>
  <c r="D463" i="24"/>
  <c r="I463" i="24"/>
  <c r="B463" i="24"/>
  <c r="D465" i="24"/>
  <c r="I465" i="24"/>
  <c r="B465" i="24"/>
  <c r="D468" i="24"/>
  <c r="I468" i="24"/>
  <c r="B468" i="24"/>
  <c r="D470" i="24"/>
  <c r="I470" i="24"/>
  <c r="B470" i="24"/>
  <c r="D472" i="24"/>
  <c r="I472" i="24"/>
  <c r="B472" i="24"/>
  <c r="D474" i="24"/>
  <c r="I474" i="24"/>
  <c r="B474" i="24"/>
  <c r="D476" i="24"/>
  <c r="I476" i="24"/>
  <c r="B476" i="24"/>
  <c r="D478" i="24"/>
  <c r="I478" i="24"/>
  <c r="B478" i="24"/>
  <c r="D480" i="24"/>
  <c r="I480" i="24"/>
  <c r="B480" i="24"/>
  <c r="D482" i="24"/>
  <c r="I482" i="24"/>
  <c r="B482" i="24"/>
  <c r="D484" i="24"/>
  <c r="I484" i="24"/>
  <c r="B484" i="24"/>
  <c r="D486" i="24"/>
  <c r="I486" i="24"/>
  <c r="B486" i="24"/>
  <c r="D488" i="24"/>
  <c r="I488" i="24"/>
  <c r="B488" i="24"/>
  <c r="D490" i="24"/>
  <c r="I490" i="24"/>
  <c r="B490" i="24"/>
  <c r="D492" i="24"/>
  <c r="I492" i="24" s="1"/>
  <c r="B492" i="24"/>
  <c r="D494" i="24"/>
  <c r="I494" i="24"/>
  <c r="B494" i="24"/>
  <c r="D496" i="24"/>
  <c r="I496" i="24"/>
  <c r="B496" i="24"/>
  <c r="J498" i="24"/>
  <c r="D498" i="24"/>
  <c r="B498" i="24"/>
  <c r="D500" i="24"/>
  <c r="I500" i="24"/>
  <c r="B500" i="24"/>
  <c r="E631" i="24"/>
  <c r="B502" i="24"/>
  <c r="B504" i="24"/>
  <c r="B506" i="24"/>
  <c r="B508" i="24"/>
  <c r="B510" i="24"/>
  <c r="B512" i="24"/>
  <c r="B514" i="24"/>
  <c r="B516" i="24"/>
  <c r="B518" i="24"/>
  <c r="B520" i="24"/>
  <c r="B522" i="24"/>
  <c r="B524" i="24"/>
  <c r="B526" i="24"/>
  <c r="B528" i="24"/>
  <c r="B530" i="24"/>
  <c r="B532" i="24"/>
  <c r="B534" i="24"/>
  <c r="B536" i="24"/>
  <c r="B538" i="24"/>
  <c r="B540" i="24"/>
  <c r="B542" i="24"/>
  <c r="B544" i="24"/>
  <c r="B546" i="24"/>
  <c r="B548" i="24"/>
  <c r="D548" i="24"/>
  <c r="I548" i="24"/>
  <c r="E609" i="24"/>
  <c r="E617" i="24"/>
  <c r="B5" i="27"/>
  <c r="B7" i="27"/>
  <c r="B9" i="27"/>
  <c r="B17" i="27"/>
  <c r="B19" i="27"/>
  <c r="B21" i="27"/>
  <c r="B23" i="27"/>
  <c r="J4" i="24"/>
  <c r="D4" i="24"/>
  <c r="B4" i="24"/>
  <c r="J5" i="24"/>
  <c r="D5" i="24"/>
  <c r="I5" i="24"/>
  <c r="B5" i="24"/>
  <c r="J7" i="24"/>
  <c r="D7" i="24"/>
  <c r="I7" i="24"/>
  <c r="B7" i="24"/>
  <c r="J9" i="24"/>
  <c r="D9" i="24"/>
  <c r="I9" i="24" s="1"/>
  <c r="B9" i="24"/>
  <c r="J10" i="24"/>
  <c r="D10" i="24"/>
  <c r="I10" i="24" s="1"/>
  <c r="B10" i="24"/>
  <c r="J12" i="24"/>
  <c r="D12" i="24"/>
  <c r="I12" i="24"/>
  <c r="B12" i="24"/>
  <c r="J14" i="24"/>
  <c r="D14" i="24"/>
  <c r="I14" i="24"/>
  <c r="B14" i="24"/>
  <c r="J16" i="24"/>
  <c r="D16" i="24"/>
  <c r="I16" i="24" s="1"/>
  <c r="B16" i="24"/>
  <c r="J18" i="24"/>
  <c r="D18" i="24"/>
  <c r="I18" i="24" s="1"/>
  <c r="B18" i="24"/>
  <c r="J20" i="24"/>
  <c r="D20" i="24"/>
  <c r="I20" i="24"/>
  <c r="B20" i="24"/>
  <c r="J22" i="24"/>
  <c r="D22" i="24"/>
  <c r="I22" i="24"/>
  <c r="B22" i="24"/>
  <c r="J24" i="24"/>
  <c r="D24" i="24"/>
  <c r="I24" i="24" s="1"/>
  <c r="B24" i="24"/>
  <c r="J26" i="24"/>
  <c r="D26" i="24"/>
  <c r="I26" i="24"/>
  <c r="B26" i="24"/>
  <c r="J27" i="24"/>
  <c r="D27" i="24"/>
  <c r="I27" i="24"/>
  <c r="B27" i="24"/>
  <c r="J29" i="24"/>
  <c r="D29" i="24"/>
  <c r="I29" i="24"/>
  <c r="B29" i="24"/>
  <c r="J31" i="24"/>
  <c r="D31" i="24"/>
  <c r="I31" i="24" s="1"/>
  <c r="B31" i="24"/>
  <c r="J32" i="24"/>
  <c r="D32" i="24"/>
  <c r="I32" i="24"/>
  <c r="B32" i="24"/>
  <c r="J34" i="24"/>
  <c r="D34" i="24"/>
  <c r="I34" i="24"/>
  <c r="B34" i="24"/>
  <c r="J36" i="24"/>
  <c r="D36" i="24"/>
  <c r="I36" i="24"/>
  <c r="B36" i="24"/>
  <c r="J38" i="24"/>
  <c r="D38" i="24"/>
  <c r="I38" i="24" s="1"/>
  <c r="B38" i="24"/>
  <c r="J40" i="24"/>
  <c r="D40" i="24"/>
  <c r="I40" i="24" s="1"/>
  <c r="B40" i="24"/>
  <c r="J41" i="24"/>
  <c r="D41" i="24"/>
  <c r="I41" i="24"/>
  <c r="B41" i="24"/>
  <c r="J43" i="24"/>
  <c r="D43" i="24"/>
  <c r="I43" i="24"/>
  <c r="B43" i="24"/>
  <c r="J45" i="24"/>
  <c r="D45" i="24"/>
  <c r="I45" i="24" s="1"/>
  <c r="B45" i="24"/>
  <c r="J46" i="24"/>
  <c r="D46" i="24"/>
  <c r="I46" i="24" s="1"/>
  <c r="B46" i="24"/>
  <c r="J48" i="24"/>
  <c r="D48" i="24"/>
  <c r="I48" i="24"/>
  <c r="B48" i="24"/>
  <c r="J51" i="24"/>
  <c r="D51" i="24"/>
  <c r="I51" i="24"/>
  <c r="B51" i="24"/>
  <c r="J53" i="24"/>
  <c r="D53" i="24"/>
  <c r="I53" i="24" s="1"/>
  <c r="B53" i="24"/>
  <c r="J54" i="24"/>
  <c r="D54" i="24"/>
  <c r="I54" i="24"/>
  <c r="B54" i="24"/>
  <c r="J56" i="24"/>
  <c r="D56" i="24"/>
  <c r="I56" i="24"/>
  <c r="B56" i="24"/>
  <c r="J58" i="24"/>
  <c r="D58" i="24"/>
  <c r="I58" i="24"/>
  <c r="B58" i="24"/>
  <c r="J61" i="24"/>
  <c r="D61" i="24"/>
  <c r="I61" i="24" s="1"/>
  <c r="B61" i="24"/>
  <c r="J63" i="24"/>
  <c r="D63" i="24"/>
  <c r="I63" i="24"/>
  <c r="B63" i="24"/>
  <c r="J65" i="24"/>
  <c r="D65" i="24"/>
  <c r="I65" i="24"/>
  <c r="B65" i="24"/>
  <c r="J67" i="24"/>
  <c r="D67" i="24"/>
  <c r="I67" i="24"/>
  <c r="B67" i="24"/>
  <c r="J69" i="24"/>
  <c r="D69" i="24"/>
  <c r="I69" i="24" s="1"/>
  <c r="B69" i="24"/>
  <c r="J71" i="24"/>
  <c r="D71" i="24"/>
  <c r="I71" i="24" s="1"/>
  <c r="B71" i="24"/>
  <c r="J73" i="24"/>
  <c r="D73" i="24"/>
  <c r="I73" i="24"/>
  <c r="B73" i="24"/>
  <c r="J75" i="24"/>
  <c r="D75" i="24"/>
  <c r="I75" i="24" s="1"/>
  <c r="B75" i="24"/>
  <c r="J77" i="24"/>
  <c r="D77" i="24"/>
  <c r="I77" i="24" s="1"/>
  <c r="B77" i="24"/>
  <c r="J79" i="24"/>
  <c r="D79" i="24"/>
  <c r="I79" i="24" s="1"/>
  <c r="B79" i="24"/>
  <c r="J81" i="24"/>
  <c r="D81" i="24"/>
  <c r="I81" i="24"/>
  <c r="B81" i="24"/>
  <c r="J83" i="24"/>
  <c r="D83" i="24"/>
  <c r="I83" i="24" s="1"/>
  <c r="B83" i="24"/>
  <c r="J85" i="24"/>
  <c r="D85" i="24"/>
  <c r="I85" i="24" s="1"/>
  <c r="B85" i="24"/>
  <c r="J87" i="24"/>
  <c r="D87" i="24"/>
  <c r="I87" i="24" s="1"/>
  <c r="B87" i="24"/>
  <c r="J89" i="24"/>
  <c r="D89" i="24"/>
  <c r="I89" i="24"/>
  <c r="B89" i="24"/>
  <c r="J91" i="24"/>
  <c r="D91" i="24"/>
  <c r="I91" i="24" s="1"/>
  <c r="B91" i="24"/>
  <c r="J93" i="24"/>
  <c r="D93" i="24"/>
  <c r="I93" i="24" s="1"/>
  <c r="B93" i="24"/>
  <c r="J95" i="24"/>
  <c r="D95" i="24"/>
  <c r="I95" i="24"/>
  <c r="B95" i="24"/>
  <c r="J96" i="24"/>
  <c r="D96" i="24"/>
  <c r="I96" i="24"/>
  <c r="B96" i="24"/>
  <c r="J98" i="24"/>
  <c r="D98" i="24"/>
  <c r="I98" i="24"/>
  <c r="B98" i="24"/>
  <c r="J100" i="24"/>
  <c r="D100" i="24"/>
  <c r="I100" i="24" s="1"/>
  <c r="B100" i="24"/>
  <c r="J102" i="24"/>
  <c r="D102" i="24"/>
  <c r="I102" i="24" s="1"/>
  <c r="B102" i="24"/>
  <c r="J104" i="24"/>
  <c r="D104" i="24"/>
  <c r="I104" i="24"/>
  <c r="B104" i="24"/>
  <c r="J106" i="24"/>
  <c r="D106" i="24"/>
  <c r="I106" i="24" s="1"/>
  <c r="B106" i="24"/>
  <c r="J108" i="24"/>
  <c r="D108" i="24"/>
  <c r="I108" i="24" s="1"/>
  <c r="B108" i="24"/>
  <c r="J110" i="24"/>
  <c r="D110" i="24"/>
  <c r="I110" i="24"/>
  <c r="B110" i="24"/>
  <c r="J112" i="24"/>
  <c r="D112" i="24"/>
  <c r="I112" i="24"/>
  <c r="B112" i="24"/>
  <c r="J114" i="24"/>
  <c r="D114" i="24"/>
  <c r="I114" i="24" s="1"/>
  <c r="B114" i="24"/>
  <c r="J116" i="24"/>
  <c r="D116" i="24"/>
  <c r="I116" i="24" s="1"/>
  <c r="B116" i="24"/>
  <c r="J120" i="24"/>
  <c r="D120" i="24"/>
  <c r="I120" i="24"/>
  <c r="B120" i="24"/>
  <c r="J145" i="24"/>
  <c r="D145" i="24"/>
  <c r="I145" i="24"/>
  <c r="B145" i="24"/>
  <c r="H5" i="24"/>
  <c r="H7" i="24"/>
  <c r="H9" i="24"/>
  <c r="H10" i="24"/>
  <c r="H12" i="24"/>
  <c r="H14" i="24"/>
  <c r="H16" i="24"/>
  <c r="H18" i="24"/>
  <c r="H20" i="24"/>
  <c r="H22" i="24"/>
  <c r="H24" i="24"/>
  <c r="H26" i="24"/>
  <c r="H27" i="24"/>
  <c r="H29" i="24"/>
  <c r="H31" i="24"/>
  <c r="H32" i="24"/>
  <c r="H34" i="24"/>
  <c r="H36" i="24"/>
  <c r="H38" i="24"/>
  <c r="H40" i="24"/>
  <c r="H41" i="24"/>
  <c r="H43" i="24"/>
  <c r="H45" i="24"/>
  <c r="H46" i="24"/>
  <c r="H48" i="24"/>
  <c r="H51" i="24"/>
  <c r="H53" i="24"/>
  <c r="H54" i="24"/>
  <c r="H56" i="24"/>
  <c r="H58" i="24"/>
  <c r="H61" i="24"/>
  <c r="H63" i="24"/>
  <c r="H65" i="24"/>
  <c r="H67" i="24"/>
  <c r="H69" i="24"/>
  <c r="H71" i="24"/>
  <c r="H73" i="24"/>
  <c r="H75" i="24"/>
  <c r="H77" i="24"/>
  <c r="H79" i="24"/>
  <c r="H81" i="24"/>
  <c r="H83" i="24"/>
  <c r="H85" i="24"/>
  <c r="H87" i="24"/>
  <c r="H89" i="24"/>
  <c r="H91" i="24"/>
  <c r="H93" i="24"/>
  <c r="H95" i="24"/>
  <c r="H96" i="24"/>
  <c r="H98" i="24"/>
  <c r="H100" i="24"/>
  <c r="H102" i="24"/>
  <c r="H104" i="24"/>
  <c r="H106" i="24"/>
  <c r="H108" i="24"/>
  <c r="H110" i="24"/>
  <c r="H112" i="24"/>
  <c r="H114" i="24"/>
  <c r="H116" i="24"/>
  <c r="H120" i="24"/>
  <c r="H145" i="24"/>
  <c r="J6" i="24"/>
  <c r="D6" i="24"/>
  <c r="I6" i="24"/>
  <c r="B6" i="24"/>
  <c r="J8" i="24"/>
  <c r="D8" i="24"/>
  <c r="I8" i="24" s="1"/>
  <c r="B8" i="24"/>
  <c r="J11" i="24"/>
  <c r="D11" i="24"/>
  <c r="I11" i="24" s="1"/>
  <c r="B11" i="24"/>
  <c r="J13" i="24"/>
  <c r="D13" i="24"/>
  <c r="I13" i="24" s="1"/>
  <c r="B13" i="24"/>
  <c r="J15" i="24"/>
  <c r="D15" i="24"/>
  <c r="I15" i="24"/>
  <c r="B15" i="24"/>
  <c r="J17" i="24"/>
  <c r="D17" i="24"/>
  <c r="I17" i="24" s="1"/>
  <c r="B17" i="24"/>
  <c r="J19" i="24"/>
  <c r="D19" i="24"/>
  <c r="I19" i="24" s="1"/>
  <c r="B19" i="24"/>
  <c r="J21" i="24"/>
  <c r="D21" i="24"/>
  <c r="I21" i="24" s="1"/>
  <c r="B21" i="24"/>
  <c r="J23" i="24"/>
  <c r="D23" i="24"/>
  <c r="I23" i="24"/>
  <c r="B23" i="24"/>
  <c r="J25" i="24"/>
  <c r="D25" i="24"/>
  <c r="I25" i="24" s="1"/>
  <c r="B25" i="24"/>
  <c r="J28" i="24"/>
  <c r="D28" i="24"/>
  <c r="I28" i="24" s="1"/>
  <c r="B28" i="24"/>
  <c r="J30" i="24"/>
  <c r="D30" i="24"/>
  <c r="I30" i="24"/>
  <c r="B30" i="24"/>
  <c r="J33" i="24"/>
  <c r="D33" i="24"/>
  <c r="I33" i="24"/>
  <c r="B33" i="24"/>
  <c r="J35" i="24"/>
  <c r="D35" i="24"/>
  <c r="I35" i="24" s="1"/>
  <c r="B35" i="24"/>
  <c r="J37" i="24"/>
  <c r="D37" i="24"/>
  <c r="I37" i="24" s="1"/>
  <c r="B37" i="24"/>
  <c r="J39" i="24"/>
  <c r="D39" i="24"/>
  <c r="I39" i="24"/>
  <c r="B39" i="24"/>
  <c r="J42" i="24"/>
  <c r="D42" i="24"/>
  <c r="I42" i="24"/>
  <c r="B42" i="24"/>
  <c r="J44" i="24"/>
  <c r="D44" i="24"/>
  <c r="I44" i="24"/>
  <c r="B44" i="24"/>
  <c r="J47" i="24"/>
  <c r="D47" i="24"/>
  <c r="I47" i="24" s="1"/>
  <c r="B47" i="24"/>
  <c r="J49" i="24"/>
  <c r="D49" i="24"/>
  <c r="I49" i="24" s="1"/>
  <c r="B49" i="24"/>
  <c r="J52" i="24"/>
  <c r="D52" i="24"/>
  <c r="I52" i="24"/>
  <c r="B52" i="24"/>
  <c r="J55" i="24"/>
  <c r="D55" i="24"/>
  <c r="I55" i="24"/>
  <c r="B55" i="24"/>
  <c r="J57" i="24"/>
  <c r="D57" i="24"/>
  <c r="I57" i="24" s="1"/>
  <c r="B57" i="24"/>
  <c r="J59" i="24"/>
  <c r="D59" i="24"/>
  <c r="I59" i="24" s="1"/>
  <c r="B59" i="24"/>
  <c r="J62" i="24"/>
  <c r="D62" i="24"/>
  <c r="I62" i="24"/>
  <c r="B62" i="24"/>
  <c r="J64" i="24"/>
  <c r="D64" i="24"/>
  <c r="I64" i="24" s="1"/>
  <c r="B64" i="24"/>
  <c r="J66" i="24"/>
  <c r="D66" i="24"/>
  <c r="I66" i="24" s="1"/>
  <c r="B66" i="24"/>
  <c r="J68" i="24"/>
  <c r="D68" i="24"/>
  <c r="I68" i="24" s="1"/>
  <c r="B68" i="24"/>
  <c r="J70" i="24"/>
  <c r="D70" i="24"/>
  <c r="I70" i="24"/>
  <c r="B70" i="24"/>
  <c r="J72" i="24"/>
  <c r="D72" i="24"/>
  <c r="I72" i="24" s="1"/>
  <c r="B72" i="24"/>
  <c r="J74" i="24"/>
  <c r="D74" i="24"/>
  <c r="I74" i="24" s="1"/>
  <c r="B74" i="24"/>
  <c r="J76" i="24"/>
  <c r="D76" i="24"/>
  <c r="I76" i="24"/>
  <c r="B76" i="24"/>
  <c r="J78" i="24"/>
  <c r="D78" i="24"/>
  <c r="I78" i="24"/>
  <c r="B78" i="24"/>
  <c r="J80" i="24"/>
  <c r="D80" i="24"/>
  <c r="I80" i="24" s="1"/>
  <c r="B80" i="24"/>
  <c r="J82" i="24"/>
  <c r="D82" i="24"/>
  <c r="I82" i="24" s="1"/>
  <c r="B82" i="24"/>
  <c r="J84" i="24"/>
  <c r="D84" i="24"/>
  <c r="I84" i="24"/>
  <c r="B84" i="24"/>
  <c r="J86" i="24"/>
  <c r="D86" i="24"/>
  <c r="I86" i="24"/>
  <c r="B86" i="24"/>
  <c r="J88" i="24"/>
  <c r="D88" i="24"/>
  <c r="I88" i="24"/>
  <c r="B88" i="24"/>
  <c r="J90" i="24"/>
  <c r="D90" i="24"/>
  <c r="I90" i="24" s="1"/>
  <c r="B90" i="24"/>
  <c r="J92" i="24"/>
  <c r="D92" i="24"/>
  <c r="I92" i="24"/>
  <c r="B92" i="24"/>
  <c r="J94" i="24"/>
  <c r="D94" i="24"/>
  <c r="I94" i="24"/>
  <c r="B94" i="24"/>
  <c r="J97" i="24"/>
  <c r="D97" i="24"/>
  <c r="I97" i="24"/>
  <c r="B97" i="24"/>
  <c r="J99" i="24"/>
  <c r="D99" i="24"/>
  <c r="I99" i="24" s="1"/>
  <c r="B99" i="24"/>
  <c r="J101" i="24"/>
  <c r="D101" i="24"/>
  <c r="I101" i="24" s="1"/>
  <c r="B101" i="24"/>
  <c r="J103" i="24"/>
  <c r="D103" i="24"/>
  <c r="I103" i="24"/>
  <c r="B103" i="24"/>
  <c r="J105" i="24"/>
  <c r="D105" i="24"/>
  <c r="I105" i="24"/>
  <c r="B105" i="24"/>
  <c r="J109" i="24"/>
  <c r="D109" i="24"/>
  <c r="I109" i="24" s="1"/>
  <c r="B109" i="24"/>
  <c r="J111" i="24"/>
  <c r="D111" i="24"/>
  <c r="I111" i="24" s="1"/>
  <c r="B111" i="24"/>
  <c r="J113" i="24"/>
  <c r="D113" i="24"/>
  <c r="I113" i="24"/>
  <c r="B113" i="24"/>
  <c r="J115" i="24"/>
  <c r="D115" i="24"/>
  <c r="I115" i="24"/>
  <c r="B115" i="24"/>
  <c r="J118" i="24"/>
  <c r="D118" i="24"/>
  <c r="I118" i="24" s="1"/>
  <c r="B118" i="24"/>
  <c r="J119" i="24"/>
  <c r="D119" i="24"/>
  <c r="I119" i="24"/>
  <c r="B119" i="24"/>
  <c r="J121" i="24"/>
  <c r="D121" i="24"/>
  <c r="I121" i="24"/>
  <c r="B121" i="24"/>
  <c r="J122" i="24"/>
  <c r="D122" i="24"/>
  <c r="I122" i="24"/>
  <c r="B122" i="24"/>
  <c r="J123" i="24"/>
  <c r="D123" i="24"/>
  <c r="I123" i="24" s="1"/>
  <c r="B123" i="24"/>
  <c r="J124" i="24"/>
  <c r="D124" i="24"/>
  <c r="I124" i="24"/>
  <c r="B124" i="24"/>
  <c r="J125" i="24"/>
  <c r="D125" i="24"/>
  <c r="I125" i="24"/>
  <c r="B125" i="24"/>
  <c r="J126" i="24"/>
  <c r="D126" i="24"/>
  <c r="I126" i="24"/>
  <c r="B126" i="24"/>
  <c r="J127" i="24"/>
  <c r="D127" i="24"/>
  <c r="I127" i="24" s="1"/>
  <c r="B127" i="24"/>
  <c r="J128" i="24"/>
  <c r="D128" i="24"/>
  <c r="I128" i="24" s="1"/>
  <c r="B128" i="24"/>
  <c r="J129" i="24"/>
  <c r="D129" i="24"/>
  <c r="I129" i="24"/>
  <c r="B129" i="24"/>
  <c r="J130" i="24"/>
  <c r="D130" i="24"/>
  <c r="I130" i="24"/>
  <c r="B130" i="24"/>
  <c r="J131" i="24"/>
  <c r="D131" i="24"/>
  <c r="I131" i="24" s="1"/>
  <c r="B131" i="24"/>
  <c r="J132" i="24"/>
  <c r="D132" i="24"/>
  <c r="I132" i="24" s="1"/>
  <c r="B132" i="24"/>
  <c r="J133" i="24"/>
  <c r="D133" i="24"/>
  <c r="I133" i="24"/>
  <c r="B133" i="24"/>
  <c r="J134" i="24"/>
  <c r="D134" i="24"/>
  <c r="I134" i="24"/>
  <c r="B134" i="24"/>
  <c r="J135" i="24"/>
  <c r="D135" i="24"/>
  <c r="I135" i="24" s="1"/>
  <c r="B135" i="24"/>
  <c r="J136" i="24"/>
  <c r="D136" i="24"/>
  <c r="I136" i="24"/>
  <c r="B136" i="24"/>
  <c r="J137" i="24"/>
  <c r="D137" i="24"/>
  <c r="I137" i="24"/>
  <c r="B137" i="24"/>
  <c r="J138" i="24"/>
  <c r="D138" i="24"/>
  <c r="I138" i="24"/>
  <c r="B138" i="24"/>
  <c r="J139" i="24"/>
  <c r="D139" i="24"/>
  <c r="I139" i="24" s="1"/>
  <c r="B139" i="24"/>
  <c r="J140" i="24"/>
  <c r="D140" i="24"/>
  <c r="I140" i="24"/>
  <c r="B140" i="24"/>
  <c r="J141" i="24"/>
  <c r="D141" i="24"/>
  <c r="I141" i="24"/>
  <c r="B141" i="24"/>
  <c r="J142" i="24"/>
  <c r="D142" i="24"/>
  <c r="I142" i="24"/>
  <c r="B142" i="24"/>
  <c r="J143" i="24"/>
  <c r="D143" i="24"/>
  <c r="I143" i="24" s="1"/>
  <c r="B143" i="24"/>
  <c r="J144" i="24"/>
  <c r="D144" i="24"/>
  <c r="I144" i="24" s="1"/>
  <c r="B144" i="24"/>
  <c r="J146" i="24"/>
  <c r="D146" i="24"/>
  <c r="I146" i="24"/>
  <c r="B146" i="24"/>
  <c r="J147" i="24"/>
  <c r="D147" i="24"/>
  <c r="I147" i="24"/>
  <c r="B147" i="24"/>
  <c r="J148" i="24"/>
  <c r="D148" i="24"/>
  <c r="I148" i="24" s="1"/>
  <c r="B148" i="24"/>
  <c r="J149" i="24"/>
  <c r="D149" i="24"/>
  <c r="I149" i="24" s="1"/>
  <c r="B149" i="24"/>
  <c r="J150" i="24"/>
  <c r="D150" i="24"/>
  <c r="I150" i="24" s="1"/>
  <c r="B150" i="24"/>
  <c r="J151" i="24"/>
  <c r="D151" i="24"/>
  <c r="I151" i="24"/>
  <c r="B151" i="24"/>
  <c r="J152" i="24"/>
  <c r="D152" i="24"/>
  <c r="I152" i="24" s="1"/>
  <c r="B152" i="24"/>
  <c r="J153" i="24"/>
  <c r="D153" i="24"/>
  <c r="I153" i="24"/>
  <c r="B153" i="24"/>
  <c r="J154" i="24"/>
  <c r="D154" i="24"/>
  <c r="I154" i="24"/>
  <c r="B154" i="24"/>
  <c r="J155" i="24"/>
  <c r="D155" i="24"/>
  <c r="I155" i="24" s="1"/>
  <c r="B155" i="24"/>
  <c r="J156" i="24"/>
  <c r="D156" i="24"/>
  <c r="I156" i="24" s="1"/>
  <c r="B156" i="24"/>
  <c r="J157" i="24"/>
  <c r="D157" i="24"/>
  <c r="I157" i="24"/>
  <c r="B157" i="24"/>
  <c r="J158" i="24"/>
  <c r="D158" i="24"/>
  <c r="I158" i="24"/>
  <c r="B158" i="24"/>
  <c r="J159" i="24"/>
  <c r="D159" i="24"/>
  <c r="I159" i="24" s="1"/>
  <c r="B159" i="24"/>
  <c r="J160" i="24"/>
  <c r="D160" i="24"/>
  <c r="I160" i="24" s="1"/>
  <c r="B160" i="24"/>
  <c r="J161" i="24"/>
  <c r="D161" i="24"/>
  <c r="I161" i="24"/>
  <c r="B161" i="24"/>
  <c r="J162" i="24"/>
  <c r="D162" i="24"/>
  <c r="I162" i="24"/>
  <c r="B162" i="24"/>
  <c r="J163" i="24"/>
  <c r="D163" i="24"/>
  <c r="I163" i="24" s="1"/>
  <c r="B163" i="24"/>
  <c r="J164" i="24"/>
  <c r="D164" i="24"/>
  <c r="B164" i="24"/>
  <c r="J165" i="24"/>
  <c r="D165" i="24"/>
  <c r="I165" i="24"/>
  <c r="B165" i="24"/>
  <c r="J166" i="24"/>
  <c r="D166" i="24"/>
  <c r="I166" i="24"/>
  <c r="B166" i="24"/>
  <c r="J167" i="24"/>
  <c r="D167" i="24"/>
  <c r="I167" i="24" s="1"/>
  <c r="B167" i="24"/>
  <c r="J168" i="24"/>
  <c r="D168" i="24"/>
  <c r="I168" i="24" s="1"/>
  <c r="B168" i="24"/>
  <c r="J169" i="24"/>
  <c r="D169" i="24"/>
  <c r="I169" i="24"/>
  <c r="B169" i="24"/>
  <c r="J170" i="24"/>
  <c r="D170" i="24"/>
  <c r="I170" i="24"/>
  <c r="B170" i="24"/>
  <c r="J171" i="24"/>
  <c r="D171" i="24"/>
  <c r="I171" i="24" s="1"/>
  <c r="B171" i="24"/>
  <c r="J172" i="24"/>
  <c r="D172" i="24"/>
  <c r="I172" i="24" s="1"/>
  <c r="B172" i="24"/>
  <c r="J173" i="24"/>
  <c r="D173" i="24"/>
  <c r="I173" i="24"/>
  <c r="B173" i="24"/>
  <c r="J174" i="24"/>
  <c r="D174" i="24"/>
  <c r="B174" i="24"/>
  <c r="J175" i="24"/>
  <c r="D175" i="24"/>
  <c r="I175" i="24" s="1"/>
  <c r="B175" i="24"/>
  <c r="J176" i="24"/>
  <c r="D176" i="24"/>
  <c r="I176" i="24" s="1"/>
  <c r="B176" i="24"/>
  <c r="J177" i="24"/>
  <c r="D177" i="24"/>
  <c r="I177" i="24"/>
  <c r="B177" i="24"/>
  <c r="J178" i="24"/>
  <c r="D178" i="24"/>
  <c r="I178" i="24"/>
  <c r="B178" i="24"/>
  <c r="J179" i="24"/>
  <c r="D179" i="24"/>
  <c r="I179" i="24" s="1"/>
  <c r="B179" i="24"/>
  <c r="J180" i="24"/>
  <c r="D180" i="24"/>
  <c r="I180" i="24" s="1"/>
  <c r="B180" i="24"/>
  <c r="J181" i="24"/>
  <c r="D181" i="24"/>
  <c r="I181" i="24"/>
  <c r="B181" i="24"/>
  <c r="J182" i="24"/>
  <c r="D182" i="24"/>
  <c r="I182" i="24"/>
  <c r="B182" i="24"/>
  <c r="J183" i="24"/>
  <c r="D183" i="24"/>
  <c r="I183" i="24" s="1"/>
  <c r="B183" i="24"/>
  <c r="J184" i="24"/>
  <c r="D184" i="24"/>
  <c r="I184" i="24" s="1"/>
  <c r="B184" i="24"/>
  <c r="J185" i="24"/>
  <c r="D185" i="24"/>
  <c r="I185" i="24"/>
  <c r="B185" i="24"/>
  <c r="J186" i="24"/>
  <c r="D186" i="24"/>
  <c r="I186" i="24"/>
  <c r="B186" i="24"/>
  <c r="J187" i="24"/>
  <c r="D187" i="24"/>
  <c r="I187" i="24" s="1"/>
  <c r="B187" i="24"/>
  <c r="J188" i="24"/>
  <c r="D188" i="24"/>
  <c r="I188" i="24" s="1"/>
  <c r="B188" i="24"/>
  <c r="J189" i="24"/>
  <c r="D189" i="24"/>
  <c r="I189" i="24"/>
  <c r="B189" i="24"/>
  <c r="J190" i="24"/>
  <c r="D190" i="24"/>
  <c r="I190" i="24"/>
  <c r="B190" i="24"/>
  <c r="J191" i="24"/>
  <c r="D191" i="24"/>
  <c r="I191" i="24" s="1"/>
  <c r="B191" i="24"/>
  <c r="J192" i="24"/>
  <c r="D192" i="24"/>
  <c r="I192" i="24" s="1"/>
  <c r="B192" i="24"/>
  <c r="J193" i="24"/>
  <c r="D193" i="24"/>
  <c r="I193" i="24"/>
  <c r="B193" i="24"/>
  <c r="J194" i="24"/>
  <c r="D194" i="24"/>
  <c r="I194" i="24"/>
  <c r="B194" i="24"/>
  <c r="J195" i="24"/>
  <c r="D195" i="24"/>
  <c r="I195" i="24" s="1"/>
  <c r="B195" i="24"/>
  <c r="J196" i="24"/>
  <c r="D196" i="24"/>
  <c r="I196" i="24" s="1"/>
  <c r="B196" i="24"/>
  <c r="J197" i="24"/>
  <c r="D197" i="24"/>
  <c r="I197" i="24"/>
  <c r="B197" i="24"/>
  <c r="J198" i="24"/>
  <c r="D198" i="24"/>
  <c r="I198" i="24"/>
  <c r="B198" i="24"/>
  <c r="J199" i="24"/>
  <c r="D199" i="24"/>
  <c r="I199" i="24" s="1"/>
  <c r="B199" i="24"/>
  <c r="J200" i="24"/>
  <c r="D200" i="24"/>
  <c r="I200" i="24" s="1"/>
  <c r="B200" i="24"/>
  <c r="J201" i="24"/>
  <c r="D201" i="24"/>
  <c r="I201" i="24"/>
  <c r="B201" i="24"/>
  <c r="J202" i="24"/>
  <c r="D202" i="24"/>
  <c r="I202" i="24"/>
  <c r="B202" i="24"/>
  <c r="J203" i="24"/>
  <c r="D203" i="24"/>
  <c r="I203" i="24" s="1"/>
  <c r="B203" i="24"/>
  <c r="J204" i="24"/>
  <c r="D204" i="24"/>
  <c r="I204" i="24" s="1"/>
  <c r="B204" i="24"/>
  <c r="J205" i="24"/>
  <c r="D205" i="24"/>
  <c r="I205" i="24"/>
  <c r="B205" i="24"/>
  <c r="J206" i="24"/>
  <c r="D206" i="24"/>
  <c r="I206" i="24"/>
  <c r="B206" i="24"/>
  <c r="J207" i="24"/>
  <c r="D207" i="24"/>
  <c r="I207" i="24" s="1"/>
  <c r="B207" i="24"/>
  <c r="J208" i="24"/>
  <c r="D208" i="24"/>
  <c r="I208" i="24" s="1"/>
  <c r="B208" i="24"/>
  <c r="J209" i="24"/>
  <c r="D209" i="24"/>
  <c r="I209" i="24"/>
  <c r="B209" i="24"/>
  <c r="J210" i="24"/>
  <c r="D210" i="24"/>
  <c r="I210" i="24"/>
  <c r="B210" i="24"/>
  <c r="J211" i="24"/>
  <c r="D211" i="24"/>
  <c r="I211" i="24" s="1"/>
  <c r="B211" i="24"/>
  <c r="J212" i="24"/>
  <c r="D212" i="24"/>
  <c r="I212" i="24" s="1"/>
  <c r="B212" i="24"/>
  <c r="J213" i="24"/>
  <c r="D213" i="24"/>
  <c r="I213" i="24"/>
  <c r="B213" i="24"/>
  <c r="J214" i="24"/>
  <c r="D214" i="24"/>
  <c r="I214" i="24"/>
  <c r="B214" i="24"/>
  <c r="J215" i="24"/>
  <c r="D215" i="24"/>
  <c r="I215" i="24" s="1"/>
  <c r="B215" i="24"/>
  <c r="J216" i="24"/>
  <c r="D216" i="24"/>
  <c r="I216" i="24" s="1"/>
  <c r="B216" i="24"/>
  <c r="J217" i="24"/>
  <c r="D217" i="24"/>
  <c r="I217" i="24"/>
  <c r="B217" i="24"/>
  <c r="J218" i="24"/>
  <c r="D218" i="24"/>
  <c r="I218" i="24"/>
  <c r="B218" i="24"/>
  <c r="J219" i="24"/>
  <c r="D219" i="24"/>
  <c r="I219" i="24" s="1"/>
  <c r="B219" i="24"/>
  <c r="J220" i="24"/>
  <c r="D220" i="24"/>
  <c r="I220" i="24" s="1"/>
  <c r="B220" i="24"/>
  <c r="J221" i="24"/>
  <c r="D221" i="24"/>
  <c r="B221" i="24"/>
  <c r="J222" i="24"/>
  <c r="D222" i="24"/>
  <c r="I222" i="24"/>
  <c r="B222" i="24"/>
  <c r="J223" i="24"/>
  <c r="D223" i="24"/>
  <c r="I223" i="24" s="1"/>
  <c r="B223" i="24"/>
  <c r="J224" i="24"/>
  <c r="D224" i="24"/>
  <c r="I224" i="24" s="1"/>
  <c r="B224" i="24"/>
  <c r="J225" i="24"/>
  <c r="D225" i="24"/>
  <c r="I225" i="24"/>
  <c r="B225" i="24"/>
  <c r="J226" i="24"/>
  <c r="D226" i="24"/>
  <c r="I226" i="24"/>
  <c r="B226" i="24"/>
  <c r="J227" i="24"/>
  <c r="D227" i="24"/>
  <c r="I227" i="24" s="1"/>
  <c r="B227" i="24"/>
  <c r="J228" i="24"/>
  <c r="D228" i="24"/>
  <c r="I228" i="24" s="1"/>
  <c r="B228" i="24"/>
  <c r="J229" i="24"/>
  <c r="D229" i="24"/>
  <c r="I229" i="24"/>
  <c r="B229" i="24"/>
  <c r="J230" i="24"/>
  <c r="D230" i="24"/>
  <c r="I230" i="24"/>
  <c r="B230" i="24"/>
  <c r="J231" i="24"/>
  <c r="D231" i="24"/>
  <c r="B231" i="24"/>
  <c r="J232" i="24"/>
  <c r="D232" i="24"/>
  <c r="I232" i="24" s="1"/>
  <c r="B232" i="24"/>
  <c r="J233" i="24"/>
  <c r="D233" i="24"/>
  <c r="I233" i="24"/>
  <c r="B233" i="24"/>
  <c r="J234" i="24"/>
  <c r="D234" i="24"/>
  <c r="I234" i="24"/>
  <c r="B234" i="24"/>
  <c r="J235" i="24"/>
  <c r="D235" i="24"/>
  <c r="I235" i="24" s="1"/>
  <c r="B235" i="24"/>
  <c r="J236" i="24"/>
  <c r="D236" i="24"/>
  <c r="I236" i="24" s="1"/>
  <c r="B236" i="24"/>
  <c r="J237" i="24"/>
  <c r="D237" i="24"/>
  <c r="I237" i="24"/>
  <c r="B237" i="24"/>
  <c r="J238" i="24"/>
  <c r="D238" i="24"/>
  <c r="I238" i="24"/>
  <c r="B238" i="24"/>
  <c r="J239" i="24"/>
  <c r="D239" i="24"/>
  <c r="I239" i="24" s="1"/>
  <c r="B239" i="24"/>
  <c r="J240" i="24"/>
  <c r="D240" i="24"/>
  <c r="I240" i="24" s="1"/>
  <c r="B240" i="24"/>
  <c r="J241" i="24"/>
  <c r="D241" i="24"/>
  <c r="I241" i="24"/>
  <c r="B241" i="24"/>
  <c r="J242" i="24"/>
  <c r="D242" i="24"/>
  <c r="I242" i="24"/>
  <c r="B242" i="24"/>
  <c r="J243" i="24"/>
  <c r="D243" i="24"/>
  <c r="I243" i="24" s="1"/>
  <c r="B243" i="24"/>
  <c r="J244" i="24"/>
  <c r="D244" i="24"/>
  <c r="I244" i="24" s="1"/>
  <c r="B244" i="24"/>
  <c r="J245" i="24"/>
  <c r="D245" i="24"/>
  <c r="I245" i="24"/>
  <c r="B245" i="24"/>
  <c r="J246" i="24"/>
  <c r="D246" i="24"/>
  <c r="I246" i="24"/>
  <c r="B246" i="24"/>
  <c r="J247" i="24"/>
  <c r="D247" i="24"/>
  <c r="I247" i="24" s="1"/>
  <c r="B247" i="24"/>
  <c r="J248" i="24"/>
  <c r="D248" i="24"/>
  <c r="I248" i="24" s="1"/>
  <c r="B248" i="24"/>
  <c r="J249" i="24"/>
  <c r="D249" i="24"/>
  <c r="I249" i="24"/>
  <c r="B249" i="24"/>
  <c r="J250" i="24"/>
  <c r="D250" i="24"/>
  <c r="I250" i="24"/>
  <c r="B250" i="24"/>
  <c r="J251" i="24"/>
  <c r="D251" i="24"/>
  <c r="I251" i="24" s="1"/>
  <c r="B251" i="24"/>
  <c r="J252" i="24"/>
  <c r="D252" i="24"/>
  <c r="I252" i="24" s="1"/>
  <c r="B252" i="24"/>
  <c r="J253" i="24"/>
  <c r="D253" i="24"/>
  <c r="I253" i="24"/>
  <c r="B253" i="24"/>
  <c r="J254" i="24"/>
  <c r="D254" i="24"/>
  <c r="I254" i="24"/>
  <c r="B254" i="24"/>
  <c r="J255" i="24"/>
  <c r="D255" i="24"/>
  <c r="I255" i="24" s="1"/>
  <c r="B255" i="24"/>
  <c r="J256" i="24"/>
  <c r="D256" i="24"/>
  <c r="I256" i="24" s="1"/>
  <c r="B256" i="24"/>
  <c r="J257" i="24"/>
  <c r="D257" i="24"/>
  <c r="I257" i="24"/>
  <c r="B257" i="24"/>
  <c r="J258" i="24"/>
  <c r="D258" i="24"/>
  <c r="I258" i="24"/>
  <c r="B258" i="24"/>
  <c r="J259" i="24"/>
  <c r="D259" i="24"/>
  <c r="I259" i="24" s="1"/>
  <c r="B259" i="24"/>
  <c r="J260" i="24"/>
  <c r="D260" i="24"/>
  <c r="I260" i="24" s="1"/>
  <c r="B260" i="24"/>
  <c r="J261" i="24"/>
  <c r="D261" i="24"/>
  <c r="I261" i="24"/>
  <c r="B261" i="24"/>
  <c r="J262" i="24"/>
  <c r="D262" i="24"/>
  <c r="I262" i="24"/>
  <c r="B262" i="24"/>
  <c r="J263" i="24"/>
  <c r="D263" i="24"/>
  <c r="I263" i="24" s="1"/>
  <c r="B263" i="24"/>
  <c r="J264" i="24"/>
  <c r="D264" i="24"/>
  <c r="I264" i="24" s="1"/>
  <c r="B264" i="24"/>
  <c r="J265" i="24"/>
  <c r="D265" i="24"/>
  <c r="I265" i="24"/>
  <c r="B265" i="24"/>
  <c r="J266" i="24"/>
  <c r="D266" i="24"/>
  <c r="I266" i="24"/>
  <c r="B266" i="24"/>
  <c r="J267" i="24"/>
  <c r="D267" i="24"/>
  <c r="I267" i="24" s="1"/>
  <c r="B267" i="24"/>
  <c r="J268" i="24"/>
  <c r="D268" i="24"/>
  <c r="I268" i="24" s="1"/>
  <c r="B268" i="24"/>
  <c r="J269" i="24"/>
  <c r="D269" i="24"/>
  <c r="I269" i="24"/>
  <c r="B269" i="24"/>
  <c r="J270" i="24"/>
  <c r="D270" i="24"/>
  <c r="I270" i="24"/>
  <c r="B270" i="24"/>
  <c r="J271" i="24"/>
  <c r="D271" i="24"/>
  <c r="I271" i="24" s="1"/>
  <c r="B271" i="24"/>
  <c r="J272" i="24"/>
  <c r="D272" i="24"/>
  <c r="I272" i="24" s="1"/>
  <c r="B272" i="24"/>
  <c r="J273" i="24"/>
  <c r="D273" i="24"/>
  <c r="I273" i="24"/>
  <c r="B273" i="24"/>
  <c r="J274" i="24"/>
  <c r="D274" i="24"/>
  <c r="I274" i="24"/>
  <c r="B274" i="24"/>
  <c r="J275" i="24"/>
  <c r="D275" i="24"/>
  <c r="I275" i="24" s="1"/>
  <c r="B275" i="24"/>
  <c r="J276" i="24"/>
  <c r="D276" i="24"/>
  <c r="I276" i="24" s="1"/>
  <c r="B276" i="24"/>
  <c r="J277" i="24"/>
  <c r="D277" i="24"/>
  <c r="I277" i="24"/>
  <c r="B277" i="24"/>
  <c r="J278" i="24"/>
  <c r="D278" i="24"/>
  <c r="B278" i="24"/>
  <c r="J279" i="24"/>
  <c r="D279" i="24"/>
  <c r="I279" i="24" s="1"/>
  <c r="B279" i="24"/>
  <c r="J280" i="24"/>
  <c r="D280" i="24"/>
  <c r="I280" i="24" s="1"/>
  <c r="B280" i="24"/>
  <c r="J281" i="24"/>
  <c r="D281" i="24"/>
  <c r="I281" i="24"/>
  <c r="B281" i="24"/>
  <c r="J282" i="24"/>
  <c r="D282" i="24"/>
  <c r="I282" i="24"/>
  <c r="B282" i="24"/>
  <c r="J283" i="24"/>
  <c r="D283" i="24"/>
  <c r="I283" i="24" s="1"/>
  <c r="B283" i="24"/>
  <c r="J284" i="24"/>
  <c r="D284" i="24"/>
  <c r="I284" i="24" s="1"/>
  <c r="B284" i="24"/>
  <c r="J285" i="24"/>
  <c r="D285" i="24"/>
  <c r="I285" i="24"/>
  <c r="B285" i="24"/>
  <c r="J286" i="24"/>
  <c r="D286" i="24"/>
  <c r="I286" i="24"/>
  <c r="B286" i="24"/>
  <c r="J287" i="24"/>
  <c r="D287" i="24"/>
  <c r="I287" i="24" s="1"/>
  <c r="B287" i="24"/>
  <c r="J288" i="24"/>
  <c r="D288" i="24"/>
  <c r="B288" i="24"/>
  <c r="J289" i="24"/>
  <c r="D289" i="24"/>
  <c r="I289" i="24"/>
  <c r="B289" i="24"/>
  <c r="J290" i="24"/>
  <c r="D290" i="24"/>
  <c r="I290" i="24"/>
  <c r="B290" i="24"/>
  <c r="J291" i="24"/>
  <c r="D291" i="24"/>
  <c r="I291" i="24" s="1"/>
  <c r="B291" i="24"/>
  <c r="J292" i="24"/>
  <c r="D292" i="24"/>
  <c r="I292" i="24" s="1"/>
  <c r="B292" i="24"/>
  <c r="J293" i="24"/>
  <c r="D293" i="24"/>
  <c r="I293" i="24"/>
  <c r="B293" i="24"/>
  <c r="J294" i="24"/>
  <c r="D294" i="24"/>
  <c r="I294" i="24"/>
  <c r="B294" i="24"/>
  <c r="J295" i="24"/>
  <c r="D295" i="24"/>
  <c r="I295" i="24" s="1"/>
  <c r="B295" i="24"/>
  <c r="J296" i="24"/>
  <c r="D296" i="24"/>
  <c r="I296" i="24" s="1"/>
  <c r="B296" i="24"/>
  <c r="J297" i="24"/>
  <c r="D297" i="24"/>
  <c r="I297" i="24"/>
  <c r="B297" i="24"/>
  <c r="J298" i="24"/>
  <c r="D298" i="24"/>
  <c r="I298" i="24"/>
  <c r="B298" i="24"/>
  <c r="J299" i="24"/>
  <c r="D299" i="24"/>
  <c r="I299" i="24" s="1"/>
  <c r="B299" i="24"/>
  <c r="J300" i="24"/>
  <c r="D300" i="24"/>
  <c r="I300" i="24" s="1"/>
  <c r="B300" i="24"/>
  <c r="J301" i="24"/>
  <c r="D301" i="24"/>
  <c r="I301" i="24"/>
  <c r="B301" i="24"/>
  <c r="J302" i="24"/>
  <c r="D302" i="24"/>
  <c r="I302" i="24"/>
  <c r="B302" i="24"/>
  <c r="J303" i="24"/>
  <c r="D303" i="24"/>
  <c r="I303" i="24" s="1"/>
  <c r="B303" i="24"/>
  <c r="J304" i="24"/>
  <c r="D304" i="24"/>
  <c r="I304" i="24" s="1"/>
  <c r="B304" i="24"/>
  <c r="J305" i="24"/>
  <c r="D305" i="24"/>
  <c r="I305" i="24"/>
  <c r="B305" i="24"/>
  <c r="J306" i="24"/>
  <c r="D306" i="24"/>
  <c r="I306" i="24"/>
  <c r="B306" i="24"/>
  <c r="J307" i="24"/>
  <c r="D307" i="24"/>
  <c r="I307" i="24" s="1"/>
  <c r="B307" i="24"/>
  <c r="J308" i="24"/>
  <c r="D308" i="24"/>
  <c r="I308" i="24" s="1"/>
  <c r="B308" i="24"/>
  <c r="J309" i="24"/>
  <c r="D309" i="24"/>
  <c r="I309" i="24"/>
  <c r="B309" i="24"/>
  <c r="J310" i="24"/>
  <c r="D310" i="24"/>
  <c r="I310" i="24"/>
  <c r="B310" i="24"/>
  <c r="J311" i="24"/>
  <c r="D311" i="24"/>
  <c r="I311" i="24" s="1"/>
  <c r="B311" i="24"/>
  <c r="J312" i="24"/>
  <c r="D312" i="24"/>
  <c r="I312" i="24" s="1"/>
  <c r="B312" i="24"/>
  <c r="J313" i="24"/>
  <c r="D313" i="24"/>
  <c r="I313" i="24"/>
  <c r="B313" i="24"/>
  <c r="J314" i="24"/>
  <c r="D314" i="24"/>
  <c r="I314" i="24"/>
  <c r="B314" i="24"/>
  <c r="J315" i="24"/>
  <c r="D315" i="24"/>
  <c r="I315" i="24" s="1"/>
  <c r="B315" i="24"/>
  <c r="J316" i="24"/>
  <c r="D316" i="24"/>
  <c r="I316" i="24" s="1"/>
  <c r="B316" i="24"/>
  <c r="J317" i="24"/>
  <c r="D317" i="24"/>
  <c r="I317" i="24"/>
  <c r="B317" i="24"/>
  <c r="J318" i="24"/>
  <c r="D318" i="24"/>
  <c r="I318" i="24"/>
  <c r="B318" i="24"/>
  <c r="J319" i="24"/>
  <c r="D319" i="24"/>
  <c r="I319" i="24" s="1"/>
  <c r="B319" i="24"/>
  <c r="J320" i="24"/>
  <c r="D320" i="24"/>
  <c r="I320" i="24" s="1"/>
  <c r="B320" i="24"/>
  <c r="J321" i="24"/>
  <c r="D321" i="24"/>
  <c r="I321" i="24"/>
  <c r="B321" i="24"/>
  <c r="J322" i="24"/>
  <c r="D322" i="24"/>
  <c r="I322" i="24"/>
  <c r="B322" i="24"/>
  <c r="J323" i="24"/>
  <c r="D323" i="24"/>
  <c r="I323" i="24" s="1"/>
  <c r="B323" i="24"/>
  <c r="J324" i="24"/>
  <c r="D324" i="24"/>
  <c r="I324" i="24" s="1"/>
  <c r="B324" i="24"/>
  <c r="J325" i="24"/>
  <c r="D325" i="24"/>
  <c r="I325" i="24"/>
  <c r="B325" i="24"/>
  <c r="J326" i="24"/>
  <c r="D326" i="24"/>
  <c r="I326" i="24"/>
  <c r="B326" i="24"/>
  <c r="J327" i="24"/>
  <c r="D327" i="24"/>
  <c r="I327" i="24" s="1"/>
  <c r="B327" i="24"/>
  <c r="J328" i="24"/>
  <c r="D328" i="24"/>
  <c r="I328" i="24" s="1"/>
  <c r="B328" i="24"/>
  <c r="J329" i="24"/>
  <c r="D329" i="24"/>
  <c r="I329" i="24"/>
  <c r="B329" i="24"/>
  <c r="J330" i="24"/>
  <c r="H330" i="24"/>
  <c r="D330" i="24"/>
  <c r="I330" i="24"/>
  <c r="B330" i="24"/>
  <c r="B331" i="24"/>
  <c r="B332" i="24"/>
  <c r="B333" i="24"/>
  <c r="B334" i="24"/>
  <c r="B335" i="24"/>
  <c r="D335" i="24"/>
  <c r="B336" i="24"/>
  <c r="B337" i="24"/>
  <c r="B338" i="24"/>
  <c r="B339" i="24"/>
  <c r="B340" i="24"/>
  <c r="B341" i="24"/>
  <c r="B342" i="24"/>
  <c r="B343" i="24"/>
  <c r="B344" i="24"/>
  <c r="B345" i="24"/>
  <c r="D345" i="24"/>
  <c r="B346" i="24"/>
  <c r="B347" i="24"/>
  <c r="B348" i="24"/>
  <c r="B349" i="24"/>
  <c r="B350" i="24"/>
  <c r="B351" i="24"/>
  <c r="B352" i="24"/>
  <c r="B353" i="24"/>
  <c r="B354" i="24"/>
  <c r="B355" i="24"/>
  <c r="B356" i="24"/>
  <c r="B357" i="24"/>
  <c r="B358" i="24"/>
  <c r="B359" i="24"/>
  <c r="J388" i="24"/>
  <c r="J389" i="24"/>
  <c r="J390" i="24"/>
  <c r="J391" i="24"/>
  <c r="J393" i="24"/>
  <c r="J394" i="24"/>
  <c r="J395" i="24"/>
  <c r="J396" i="24"/>
  <c r="J397" i="24"/>
  <c r="J398" i="24"/>
  <c r="J399" i="24"/>
  <c r="J400" i="24"/>
  <c r="J401" i="24"/>
  <c r="J403" i="24"/>
  <c r="J404" i="24"/>
  <c r="J405" i="24"/>
  <c r="J406" i="24"/>
  <c r="J407" i="24"/>
  <c r="J408" i="24"/>
  <c r="J409" i="24"/>
  <c r="J410" i="24"/>
  <c r="J411" i="24"/>
  <c r="J412" i="24"/>
  <c r="J413" i="24"/>
  <c r="J414" i="24"/>
  <c r="J415" i="24"/>
  <c r="J416" i="24"/>
  <c r="J417" i="24"/>
  <c r="J418" i="24"/>
  <c r="J419" i="24"/>
  <c r="J420" i="24"/>
  <c r="J421" i="24"/>
  <c r="J422" i="24"/>
  <c r="J423" i="24"/>
  <c r="J424" i="24"/>
  <c r="J425" i="24"/>
  <c r="J426" i="24"/>
  <c r="J427" i="24"/>
  <c r="J428" i="24"/>
  <c r="J429" i="24"/>
  <c r="J430" i="24"/>
  <c r="J431" i="24"/>
  <c r="J432" i="24"/>
  <c r="J433" i="24"/>
  <c r="J434" i="24"/>
  <c r="J435" i="24"/>
  <c r="J436" i="24"/>
  <c r="J437" i="24"/>
  <c r="J438" i="24"/>
  <c r="J439" i="24"/>
  <c r="J440" i="24"/>
  <c r="J441" i="24"/>
  <c r="J442" i="24"/>
  <c r="J443" i="24"/>
  <c r="J444" i="24"/>
  <c r="J445" i="24"/>
  <c r="J446" i="24"/>
  <c r="J447" i="24"/>
  <c r="J448" i="24"/>
  <c r="J450" i="24"/>
  <c r="J451" i="24"/>
  <c r="J452" i="24"/>
  <c r="J453" i="24"/>
  <c r="J454" i="24"/>
  <c r="J455" i="24"/>
  <c r="J456" i="24"/>
  <c r="J457" i="24"/>
  <c r="J458" i="24"/>
  <c r="J460" i="24"/>
  <c r="J461" i="24"/>
  <c r="J462" i="24"/>
  <c r="J463" i="24"/>
  <c r="J464" i="24"/>
  <c r="J465" i="24"/>
  <c r="J466" i="24"/>
  <c r="J467" i="24"/>
  <c r="J468" i="24"/>
  <c r="J469" i="24"/>
  <c r="J470" i="24"/>
  <c r="J471" i="24"/>
  <c r="J472" i="24"/>
  <c r="J473" i="24"/>
  <c r="J474" i="24"/>
  <c r="J475" i="24"/>
  <c r="J476" i="24"/>
  <c r="J477" i="24"/>
  <c r="J478" i="24"/>
  <c r="J479" i="24"/>
  <c r="J480" i="24"/>
  <c r="J481" i="24"/>
  <c r="J482" i="24"/>
  <c r="J483" i="24"/>
  <c r="J484" i="24"/>
  <c r="J485" i="24"/>
  <c r="J486" i="24"/>
  <c r="J487" i="24"/>
  <c r="J488" i="24"/>
  <c r="J489" i="24"/>
  <c r="J490" i="24"/>
  <c r="J491" i="24"/>
  <c r="J492" i="24"/>
  <c r="J493" i="24"/>
  <c r="J494" i="24"/>
  <c r="J495" i="24"/>
  <c r="J496" i="24"/>
  <c r="J497" i="24"/>
  <c r="J499" i="24"/>
  <c r="J500" i="24"/>
  <c r="J501" i="24"/>
  <c r="J502" i="24"/>
  <c r="J503" i="24"/>
  <c r="J504" i="24"/>
  <c r="J505" i="24"/>
  <c r="J506" i="24"/>
  <c r="J507" i="24"/>
  <c r="J508" i="24"/>
  <c r="J509" i="24"/>
  <c r="J510" i="24"/>
  <c r="J511" i="24"/>
  <c r="J512" i="24"/>
  <c r="J514" i="24"/>
  <c r="J515" i="24"/>
  <c r="J516" i="24"/>
  <c r="J517" i="24"/>
  <c r="J518" i="24"/>
  <c r="J519" i="24"/>
  <c r="J520" i="24"/>
  <c r="J521" i="24"/>
  <c r="J522" i="24"/>
  <c r="J523" i="24"/>
  <c r="J524" i="24"/>
  <c r="J525" i="24"/>
  <c r="J526" i="24"/>
  <c r="J527" i="24"/>
  <c r="J528" i="24"/>
  <c r="J529" i="24"/>
  <c r="J530" i="24"/>
  <c r="J531" i="24"/>
  <c r="J532" i="24"/>
  <c r="J533" i="24"/>
  <c r="J534" i="24"/>
  <c r="J535" i="24"/>
  <c r="J536" i="24"/>
  <c r="J537" i="24"/>
  <c r="J538" i="24"/>
  <c r="J539" i="24"/>
  <c r="J540" i="24"/>
  <c r="J541" i="24"/>
  <c r="J542" i="24"/>
  <c r="J543" i="24"/>
  <c r="J544" i="24"/>
  <c r="J545" i="24"/>
  <c r="J546" i="24"/>
  <c r="J547" i="24"/>
  <c r="B549" i="24"/>
  <c r="B550" i="24"/>
  <c r="B551" i="24"/>
  <c r="B552" i="24"/>
  <c r="D552" i="24"/>
  <c r="B553" i="24"/>
  <c r="B554" i="24"/>
  <c r="B555" i="24"/>
  <c r="B556" i="24"/>
  <c r="B557" i="24"/>
  <c r="B558" i="24"/>
  <c r="B559" i="24"/>
  <c r="B560" i="24"/>
  <c r="B561" i="24"/>
  <c r="B562" i="24"/>
  <c r="B563" i="24"/>
  <c r="B564" i="24"/>
  <c r="B565" i="24"/>
  <c r="B566" i="24"/>
  <c r="B567" i="24"/>
  <c r="D567" i="24"/>
  <c r="B568" i="24"/>
  <c r="B569" i="24"/>
  <c r="B570" i="24"/>
  <c r="B571" i="24"/>
  <c r="B572" i="24"/>
  <c r="B573" i="24"/>
  <c r="B574" i="24"/>
  <c r="B575" i="24"/>
  <c r="B576" i="24"/>
  <c r="B577" i="24"/>
  <c r="B578" i="24"/>
  <c r="B579" i="24"/>
  <c r="B580" i="24"/>
  <c r="B581" i="24"/>
  <c r="B582" i="24"/>
  <c r="B583" i="24"/>
  <c r="B584" i="24"/>
  <c r="B585" i="24"/>
  <c r="B586" i="24"/>
  <c r="B587" i="24"/>
  <c r="B588" i="24"/>
  <c r="B589" i="24"/>
  <c r="B590" i="24"/>
  <c r="B591" i="24"/>
  <c r="B592" i="24"/>
  <c r="B593" i="24"/>
  <c r="B594" i="24"/>
  <c r="B595" i="24"/>
  <c r="B596" i="24"/>
  <c r="B597" i="24"/>
  <c r="B598" i="24"/>
  <c r="B599" i="24"/>
  <c r="B600" i="24"/>
  <c r="B601" i="24"/>
  <c r="B602" i="24"/>
  <c r="B603" i="24"/>
  <c r="B604" i="24"/>
  <c r="B605" i="24"/>
  <c r="E607" i="24"/>
  <c r="E611" i="24"/>
  <c r="E615" i="24"/>
  <c r="E619" i="24"/>
  <c r="E633" i="24"/>
  <c r="B635" i="24"/>
  <c r="B636" i="24"/>
  <c r="B637" i="24"/>
  <c r="B638" i="24"/>
  <c r="B639" i="24"/>
  <c r="B640" i="24"/>
  <c r="B641" i="24"/>
  <c r="B642" i="24"/>
  <c r="B643" i="24"/>
  <c r="B644" i="24"/>
  <c r="B645" i="24"/>
  <c r="B646" i="24"/>
  <c r="B647" i="24"/>
  <c r="B648" i="24"/>
  <c r="B649" i="24"/>
  <c r="B650" i="24"/>
  <c r="B651" i="24"/>
  <c r="B652" i="24"/>
  <c r="B653" i="24"/>
  <c r="B654" i="24"/>
  <c r="B655" i="24"/>
  <c r="B656" i="24"/>
  <c r="B657" i="24"/>
  <c r="B658" i="24"/>
  <c r="B659" i="24"/>
  <c r="B660" i="24"/>
  <c r="B661" i="24"/>
  <c r="B662" i="24"/>
  <c r="B663" i="24"/>
  <c r="B664" i="24"/>
  <c r="B665" i="24"/>
  <c r="B666" i="24"/>
  <c r="B667" i="24"/>
  <c r="B668" i="24"/>
  <c r="B669" i="24"/>
  <c r="B670" i="24"/>
  <c r="B671" i="24"/>
  <c r="B672" i="24"/>
  <c r="B673" i="24"/>
  <c r="B674" i="24"/>
  <c r="B675" i="24"/>
  <c r="B676" i="24"/>
  <c r="J331" i="24"/>
  <c r="H331" i="24"/>
  <c r="J332" i="24"/>
  <c r="H332" i="24"/>
  <c r="J333" i="24"/>
  <c r="H333" i="24"/>
  <c r="J334" i="24"/>
  <c r="H334" i="24"/>
  <c r="H335" i="24"/>
  <c r="J336" i="24"/>
  <c r="H336" i="24"/>
  <c r="J337" i="24"/>
  <c r="H337" i="24"/>
  <c r="J338" i="24"/>
  <c r="H338" i="24"/>
  <c r="J339" i="24"/>
  <c r="H339" i="24"/>
  <c r="J340" i="24"/>
  <c r="H340" i="24"/>
  <c r="J341" i="24"/>
  <c r="H341" i="24"/>
  <c r="J342" i="24"/>
  <c r="H342" i="24"/>
  <c r="J343" i="24"/>
  <c r="H343" i="24"/>
  <c r="J344" i="24"/>
  <c r="H344" i="24"/>
  <c r="H345" i="24"/>
  <c r="J346" i="24"/>
  <c r="H346" i="24"/>
  <c r="J347" i="24"/>
  <c r="H347" i="24"/>
  <c r="J348" i="24"/>
  <c r="H348" i="24"/>
  <c r="J349" i="24"/>
  <c r="H349" i="24"/>
  <c r="J350" i="24"/>
  <c r="H350" i="24"/>
  <c r="J351" i="24"/>
  <c r="H351" i="24"/>
  <c r="J352" i="24"/>
  <c r="H352" i="24"/>
  <c r="J353" i="24"/>
  <c r="H353" i="24"/>
  <c r="J354" i="24"/>
  <c r="H354" i="24"/>
  <c r="J355" i="24"/>
  <c r="H355" i="24"/>
  <c r="J356" i="24"/>
  <c r="H356" i="24"/>
  <c r="J357" i="24"/>
  <c r="H357" i="24"/>
  <c r="J358" i="24"/>
  <c r="H358" i="24"/>
  <c r="H359" i="24"/>
  <c r="J359" i="24"/>
  <c r="J549" i="24"/>
  <c r="J550" i="24"/>
  <c r="J551" i="24"/>
  <c r="J553" i="24"/>
  <c r="J554" i="24"/>
  <c r="J555" i="24"/>
  <c r="J556" i="24"/>
  <c r="J557" i="24"/>
  <c r="J558" i="24"/>
  <c r="J559" i="24"/>
  <c r="J560" i="24"/>
  <c r="J561" i="24"/>
  <c r="J562" i="24"/>
  <c r="J563" i="24"/>
  <c r="J564" i="24"/>
  <c r="J565" i="24"/>
  <c r="J566" i="24"/>
  <c r="J568" i="24"/>
  <c r="J569" i="24"/>
  <c r="J570" i="24"/>
  <c r="J571" i="24"/>
  <c r="J572" i="24"/>
  <c r="J573" i="24"/>
  <c r="J574" i="24"/>
  <c r="J575" i="24"/>
  <c r="J576" i="24"/>
  <c r="J577" i="24"/>
  <c r="J578" i="24"/>
  <c r="J579" i="24"/>
  <c r="J580" i="24"/>
  <c r="J581" i="24"/>
  <c r="J582" i="24"/>
  <c r="J583" i="24"/>
  <c r="J584" i="24"/>
  <c r="J585" i="24"/>
  <c r="J586" i="24"/>
  <c r="J587" i="24"/>
  <c r="J588" i="24"/>
  <c r="J589" i="24"/>
  <c r="J590" i="24"/>
  <c r="J591" i="24"/>
  <c r="J592" i="24"/>
  <c r="J593" i="24"/>
  <c r="J594" i="24"/>
  <c r="J595" i="24"/>
  <c r="J596" i="24"/>
  <c r="J597" i="24"/>
  <c r="J598" i="24"/>
  <c r="J599" i="24"/>
  <c r="J600" i="24"/>
  <c r="J601" i="24"/>
  <c r="J602" i="24"/>
  <c r="J603" i="24"/>
  <c r="J604" i="24"/>
  <c r="J605" i="24"/>
  <c r="J635" i="24"/>
  <c r="J636" i="24"/>
  <c r="J637" i="24"/>
  <c r="J638" i="24"/>
  <c r="J639" i="24"/>
  <c r="J640" i="24"/>
  <c r="J641" i="24"/>
  <c r="J642" i="24"/>
  <c r="J643" i="24"/>
  <c r="J644" i="24"/>
  <c r="J645" i="24"/>
  <c r="J646" i="24"/>
  <c r="J647" i="24"/>
  <c r="J648" i="24"/>
  <c r="J649" i="24"/>
  <c r="J650" i="24"/>
  <c r="J651" i="24"/>
  <c r="J652" i="24"/>
  <c r="J653" i="24"/>
  <c r="J654" i="24"/>
  <c r="J655" i="24"/>
  <c r="J656" i="24"/>
  <c r="J657" i="24"/>
  <c r="J658" i="24"/>
  <c r="J659" i="24"/>
  <c r="J660" i="24"/>
  <c r="J661" i="24"/>
  <c r="J662" i="24"/>
  <c r="J663" i="24"/>
  <c r="J664" i="24"/>
  <c r="J665" i="24"/>
  <c r="J666" i="24"/>
  <c r="J667" i="24"/>
  <c r="J668" i="24"/>
  <c r="J669" i="24"/>
  <c r="J670" i="24"/>
  <c r="J671" i="24"/>
  <c r="J672" i="24"/>
  <c r="J673" i="24"/>
  <c r="J674" i="24"/>
  <c r="J675" i="24"/>
  <c r="J676" i="24"/>
  <c r="F5" i="27"/>
  <c r="F7" i="27"/>
  <c r="F9" i="27"/>
  <c r="F17" i="27"/>
  <c r="F19" i="27"/>
  <c r="F21" i="27"/>
  <c r="F23" i="27"/>
  <c r="F4" i="27"/>
  <c r="F6" i="27"/>
  <c r="F8" i="27"/>
  <c r="F10" i="27"/>
  <c r="F18" i="27"/>
  <c r="F20" i="27"/>
  <c r="F22" i="27"/>
  <c r="E34" i="27"/>
  <c r="E36" i="27"/>
  <c r="E38" i="27"/>
  <c r="E4" i="24"/>
  <c r="E5" i="24"/>
  <c r="E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G26" i="24" s="1"/>
  <c r="E27" i="24"/>
  <c r="E28" i="24"/>
  <c r="E29" i="24"/>
  <c r="E30" i="24"/>
  <c r="G30" i="24" s="1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1" i="24"/>
  <c r="E52" i="24"/>
  <c r="E53" i="24"/>
  <c r="E54" i="24"/>
  <c r="E55" i="24"/>
  <c r="G55" i="24" s="1"/>
  <c r="E56" i="24"/>
  <c r="E57" i="24"/>
  <c r="E58" i="24"/>
  <c r="E59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G88" i="24" s="1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8" i="24"/>
  <c r="E109" i="24"/>
  <c r="E110" i="24"/>
  <c r="E111" i="24"/>
  <c r="E112" i="24"/>
  <c r="E113" i="24"/>
  <c r="E114" i="24"/>
  <c r="E115" i="24"/>
  <c r="E116" i="24"/>
  <c r="E118" i="24"/>
  <c r="E119" i="24"/>
  <c r="E120" i="24"/>
  <c r="E121" i="24"/>
  <c r="E122" i="24"/>
  <c r="E123" i="24"/>
  <c r="E124" i="24"/>
  <c r="E125" i="24"/>
  <c r="E126" i="24"/>
  <c r="G126" i="24" s="1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160" i="24"/>
  <c r="E161" i="24"/>
  <c r="E162" i="24"/>
  <c r="E163" i="24"/>
  <c r="E164" i="24"/>
  <c r="E165" i="24"/>
  <c r="E166" i="24"/>
  <c r="G166" i="24" s="1"/>
  <c r="E167" i="24"/>
  <c r="E168" i="24"/>
  <c r="E169" i="24"/>
  <c r="E170" i="24"/>
  <c r="E171" i="24"/>
  <c r="E172" i="24"/>
  <c r="E173" i="24"/>
  <c r="E174" i="24"/>
  <c r="G174" i="24" s="1"/>
  <c r="E175" i="24"/>
  <c r="E176" i="24"/>
  <c r="E177" i="24"/>
  <c r="E178" i="24"/>
  <c r="E179" i="24"/>
  <c r="E180" i="24"/>
  <c r="E181" i="24"/>
  <c r="E182" i="24"/>
  <c r="G182" i="24" s="1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G218" i="24" s="1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H361" i="24"/>
  <c r="D361" i="24"/>
  <c r="I361" i="24"/>
  <c r="B361" i="24"/>
  <c r="E361" i="24"/>
  <c r="H363" i="24"/>
  <c r="D363" i="24"/>
  <c r="I363" i="24"/>
  <c r="B363" i="24"/>
  <c r="E363" i="24"/>
  <c r="H365" i="24"/>
  <c r="D365" i="24"/>
  <c r="I365" i="24"/>
  <c r="B365" i="24"/>
  <c r="E365" i="24"/>
  <c r="H367" i="24"/>
  <c r="D367" i="24"/>
  <c r="I367" i="24"/>
  <c r="B367" i="24"/>
  <c r="E367" i="24"/>
  <c r="H369" i="24"/>
  <c r="D369" i="24"/>
  <c r="I369" i="24"/>
  <c r="B369" i="24"/>
  <c r="E369" i="24"/>
  <c r="H371" i="24"/>
  <c r="D371" i="24"/>
  <c r="I371" i="24"/>
  <c r="B371" i="24"/>
  <c r="E371" i="24"/>
  <c r="H373" i="24"/>
  <c r="D373" i="24"/>
  <c r="I373" i="24"/>
  <c r="B373" i="24"/>
  <c r="E373" i="24"/>
  <c r="H375" i="24"/>
  <c r="D375" i="24"/>
  <c r="I375" i="24"/>
  <c r="B375" i="24"/>
  <c r="E375" i="24"/>
  <c r="H377" i="24"/>
  <c r="D377" i="24"/>
  <c r="I377" i="24"/>
  <c r="B377" i="24"/>
  <c r="E377" i="24"/>
  <c r="D379" i="24"/>
  <c r="I379" i="24"/>
  <c r="B379" i="24"/>
  <c r="E379" i="24"/>
  <c r="D381" i="24"/>
  <c r="I381" i="24" s="1"/>
  <c r="B381" i="24"/>
  <c r="E381" i="24"/>
  <c r="D383" i="24"/>
  <c r="I383" i="24"/>
  <c r="B383" i="24"/>
  <c r="E383" i="24"/>
  <c r="D385" i="24"/>
  <c r="I385" i="24"/>
  <c r="B385" i="24"/>
  <c r="E385" i="24"/>
  <c r="J387" i="24"/>
  <c r="D387" i="24"/>
  <c r="I387" i="24"/>
  <c r="B387" i="24"/>
  <c r="E387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E338" i="24"/>
  <c r="E339" i="24"/>
  <c r="E340" i="24"/>
  <c r="E341" i="24"/>
  <c r="E342" i="24"/>
  <c r="E343" i="24"/>
  <c r="E344" i="24"/>
  <c r="E345" i="24"/>
  <c r="E346" i="24"/>
  <c r="E347" i="24"/>
  <c r="E348" i="24"/>
  <c r="E349" i="24"/>
  <c r="E350" i="24"/>
  <c r="E351" i="24"/>
  <c r="E352" i="24"/>
  <c r="E353" i="24"/>
  <c r="E354" i="24"/>
  <c r="E355" i="24"/>
  <c r="E356" i="24"/>
  <c r="E357" i="24"/>
  <c r="E358" i="24"/>
  <c r="E359" i="24"/>
  <c r="H360" i="24"/>
  <c r="D360" i="24"/>
  <c r="I360" i="24"/>
  <c r="B360" i="24"/>
  <c r="J360" i="24"/>
  <c r="H362" i="24"/>
  <c r="D362" i="24"/>
  <c r="I362" i="24"/>
  <c r="B362" i="24"/>
  <c r="J362" i="24"/>
  <c r="H364" i="24"/>
  <c r="D364" i="24"/>
  <c r="I364" i="24" s="1"/>
  <c r="B364" i="24"/>
  <c r="J364" i="24"/>
  <c r="H366" i="24"/>
  <c r="D366" i="24"/>
  <c r="I366" i="24"/>
  <c r="B366" i="24"/>
  <c r="J366" i="24"/>
  <c r="H368" i="24"/>
  <c r="D368" i="24"/>
  <c r="I368" i="24"/>
  <c r="B368" i="24"/>
  <c r="J368" i="24"/>
  <c r="H370" i="24"/>
  <c r="D370" i="24"/>
  <c r="I370" i="24"/>
  <c r="B370" i="24"/>
  <c r="J370" i="24"/>
  <c r="H372" i="24"/>
  <c r="D372" i="24"/>
  <c r="I372" i="24" s="1"/>
  <c r="B372" i="24"/>
  <c r="J372" i="24"/>
  <c r="H374" i="24"/>
  <c r="D374" i="24"/>
  <c r="I374" i="24"/>
  <c r="B374" i="24"/>
  <c r="J374" i="24"/>
  <c r="H376" i="24"/>
  <c r="D376" i="24"/>
  <c r="I376" i="24"/>
  <c r="B376" i="24"/>
  <c r="J376" i="24"/>
  <c r="H378" i="24"/>
  <c r="D378" i="24"/>
  <c r="I378" i="24"/>
  <c r="B378" i="24"/>
  <c r="J378" i="24"/>
  <c r="D380" i="24"/>
  <c r="I380" i="24" s="1"/>
  <c r="B380" i="24"/>
  <c r="J380" i="24"/>
  <c r="D382" i="24"/>
  <c r="I382" i="24"/>
  <c r="B382" i="24"/>
  <c r="J382" i="24"/>
  <c r="D384" i="24"/>
  <c r="I384" i="24"/>
  <c r="B384" i="24"/>
  <c r="J384" i="24"/>
  <c r="D386" i="24"/>
  <c r="I386" i="24"/>
  <c r="B386" i="24"/>
  <c r="J386" i="24"/>
  <c r="D608" i="24"/>
  <c r="I608" i="24" s="1"/>
  <c r="B608" i="24"/>
  <c r="J608" i="24"/>
  <c r="D610" i="24"/>
  <c r="I610" i="24"/>
  <c r="B610" i="24"/>
  <c r="J610" i="24"/>
  <c r="D612" i="24"/>
  <c r="I612" i="24"/>
  <c r="B612" i="24"/>
  <c r="J612" i="24"/>
  <c r="D614" i="24"/>
  <c r="I614" i="24"/>
  <c r="B614" i="24"/>
  <c r="J614" i="24"/>
  <c r="D616" i="24"/>
  <c r="I616" i="24" s="1"/>
  <c r="B616" i="24"/>
  <c r="J616" i="24"/>
  <c r="D618" i="24"/>
  <c r="I618" i="24"/>
  <c r="B618" i="24"/>
  <c r="J618" i="24"/>
  <c r="D620" i="24"/>
  <c r="I620" i="24"/>
  <c r="B620" i="24"/>
  <c r="J620" i="24"/>
  <c r="D632" i="24"/>
  <c r="I632" i="24"/>
  <c r="B632" i="24"/>
  <c r="J632" i="24"/>
  <c r="J634" i="24"/>
  <c r="D634" i="24"/>
  <c r="I634" i="24"/>
  <c r="B634" i="24"/>
  <c r="E388" i="24"/>
  <c r="E389" i="24"/>
  <c r="E390" i="24"/>
  <c r="E391" i="24"/>
  <c r="E392" i="24"/>
  <c r="E393" i="24"/>
  <c r="E394" i="24"/>
  <c r="E395" i="24"/>
  <c r="E396" i="24"/>
  <c r="E397" i="24"/>
  <c r="E398" i="24"/>
  <c r="E399" i="24"/>
  <c r="E400" i="24"/>
  <c r="E401" i="24"/>
  <c r="E402" i="24"/>
  <c r="E403" i="24"/>
  <c r="E404" i="24"/>
  <c r="E405" i="24"/>
  <c r="G405" i="24" s="1"/>
  <c r="E406" i="24"/>
  <c r="E407" i="24"/>
  <c r="E408" i="24"/>
  <c r="E409" i="24"/>
  <c r="E410" i="24"/>
  <c r="E411" i="24"/>
  <c r="E412" i="24"/>
  <c r="E413" i="24"/>
  <c r="E414" i="24"/>
  <c r="E415" i="24"/>
  <c r="E416" i="24"/>
  <c r="E417" i="24"/>
  <c r="E418" i="24"/>
  <c r="E419" i="24"/>
  <c r="E420" i="24"/>
  <c r="E421" i="24"/>
  <c r="E422" i="24"/>
  <c r="E423" i="24"/>
  <c r="E424" i="24"/>
  <c r="E425" i="24"/>
  <c r="E426" i="24"/>
  <c r="E427" i="24"/>
  <c r="E428" i="24"/>
  <c r="E429" i="24"/>
  <c r="E430" i="24"/>
  <c r="E431" i="24"/>
  <c r="E432" i="24"/>
  <c r="E433" i="24"/>
  <c r="G433" i="24" s="1"/>
  <c r="E434" i="24"/>
  <c r="E435" i="24"/>
  <c r="E436" i="24"/>
  <c r="E437" i="24"/>
  <c r="E438" i="24"/>
  <c r="E439" i="24"/>
  <c r="E440" i="24"/>
  <c r="E441" i="24"/>
  <c r="G441" i="24" s="1"/>
  <c r="E442" i="24"/>
  <c r="E443" i="24"/>
  <c r="E444" i="24"/>
  <c r="E445" i="24"/>
  <c r="E446" i="24"/>
  <c r="E447" i="24"/>
  <c r="E448" i="24"/>
  <c r="E449" i="24"/>
  <c r="E450" i="24"/>
  <c r="E451" i="24"/>
  <c r="E452" i="24"/>
  <c r="E453" i="24"/>
  <c r="E454" i="24"/>
  <c r="E455" i="24"/>
  <c r="E456" i="24"/>
  <c r="E457" i="24"/>
  <c r="G457" i="24" s="1"/>
  <c r="E458" i="24"/>
  <c r="E460" i="24"/>
  <c r="E461" i="24"/>
  <c r="E462" i="24"/>
  <c r="E463" i="24"/>
  <c r="E464" i="24"/>
  <c r="E465" i="24"/>
  <c r="E466" i="24"/>
  <c r="E467" i="24"/>
  <c r="E468" i="24"/>
  <c r="E469" i="24"/>
  <c r="E470" i="24"/>
  <c r="E471" i="24"/>
  <c r="E472" i="24"/>
  <c r="E473" i="24"/>
  <c r="E474" i="24"/>
  <c r="E475" i="24"/>
  <c r="E476" i="24"/>
  <c r="E477" i="24"/>
  <c r="E478" i="24"/>
  <c r="E479" i="24"/>
  <c r="E480" i="24"/>
  <c r="E481" i="24"/>
  <c r="E482" i="24"/>
  <c r="E483" i="24"/>
  <c r="E484" i="24"/>
  <c r="E485" i="24"/>
  <c r="E486" i="24"/>
  <c r="E487" i="24"/>
  <c r="E488" i="24"/>
  <c r="E489" i="24"/>
  <c r="E490" i="24"/>
  <c r="E491" i="24"/>
  <c r="E492" i="24"/>
  <c r="E493" i="24"/>
  <c r="E494" i="24"/>
  <c r="E495" i="24"/>
  <c r="E496" i="24"/>
  <c r="E497" i="24"/>
  <c r="E498" i="24"/>
  <c r="E499" i="24"/>
  <c r="E500" i="24"/>
  <c r="E501" i="24"/>
  <c r="E502" i="24"/>
  <c r="E503" i="24"/>
  <c r="E504" i="24"/>
  <c r="E505" i="24"/>
  <c r="E506" i="24"/>
  <c r="G506" i="24" s="1"/>
  <c r="E507" i="24"/>
  <c r="E508" i="24"/>
  <c r="E509" i="24"/>
  <c r="E510" i="24"/>
  <c r="E511" i="24"/>
  <c r="E512" i="24"/>
  <c r="E513" i="24"/>
  <c r="E514" i="24"/>
  <c r="E515" i="24"/>
  <c r="E516" i="24"/>
  <c r="E517" i="24"/>
  <c r="E518" i="24"/>
  <c r="E519" i="24"/>
  <c r="E520" i="24"/>
  <c r="E521" i="24"/>
  <c r="E522" i="24"/>
  <c r="E523" i="24"/>
  <c r="E524" i="24"/>
  <c r="E525" i="24"/>
  <c r="E526" i="24"/>
  <c r="E527" i="24"/>
  <c r="E528" i="24"/>
  <c r="E529" i="24"/>
  <c r="E530" i="24"/>
  <c r="E531" i="24"/>
  <c r="E532" i="24"/>
  <c r="E533" i="24"/>
  <c r="E534" i="24"/>
  <c r="G534" i="24" s="1"/>
  <c r="E535" i="24"/>
  <c r="E536" i="24"/>
  <c r="E537" i="24"/>
  <c r="E538" i="24"/>
  <c r="G538" i="24" s="1"/>
  <c r="E539" i="24"/>
  <c r="E540" i="24"/>
  <c r="E541" i="24"/>
  <c r="E542" i="24"/>
  <c r="E543" i="24"/>
  <c r="E544" i="24"/>
  <c r="E545" i="24"/>
  <c r="E546" i="24"/>
  <c r="E547" i="24"/>
  <c r="J548" i="24"/>
  <c r="E548" i="24"/>
  <c r="G548" i="24" s="1"/>
  <c r="D607" i="24"/>
  <c r="I607" i="24"/>
  <c r="B607" i="24"/>
  <c r="J607" i="24"/>
  <c r="E608" i="24"/>
  <c r="D609" i="24"/>
  <c r="I609" i="24"/>
  <c r="B609" i="24"/>
  <c r="J609" i="24"/>
  <c r="E610" i="24"/>
  <c r="D611" i="24"/>
  <c r="I611" i="24"/>
  <c r="B611" i="24"/>
  <c r="J611" i="24"/>
  <c r="E612" i="24"/>
  <c r="D613" i="24"/>
  <c r="I613" i="24"/>
  <c r="B613" i="24"/>
  <c r="J613" i="24"/>
  <c r="E614" i="24"/>
  <c r="G614" i="24" s="1"/>
  <c r="D615" i="24"/>
  <c r="I615" i="24" s="1"/>
  <c r="B615" i="24"/>
  <c r="J615" i="24"/>
  <c r="E616" i="24"/>
  <c r="D617" i="24"/>
  <c r="I617" i="24"/>
  <c r="B617" i="24"/>
  <c r="J617" i="24"/>
  <c r="E618" i="24"/>
  <c r="D619" i="24"/>
  <c r="F619" i="24" s="1"/>
  <c r="I619" i="24"/>
  <c r="B619" i="24"/>
  <c r="J619" i="24"/>
  <c r="E620" i="24"/>
  <c r="D631" i="24"/>
  <c r="I631" i="24"/>
  <c r="B631" i="24"/>
  <c r="J631" i="24"/>
  <c r="E632" i="24"/>
  <c r="D633" i="24"/>
  <c r="I633" i="24"/>
  <c r="B633" i="24"/>
  <c r="J633" i="24"/>
  <c r="E634" i="24"/>
  <c r="E549" i="24"/>
  <c r="E550" i="24"/>
  <c r="E551" i="24"/>
  <c r="E552" i="24"/>
  <c r="E553" i="24"/>
  <c r="E554" i="24"/>
  <c r="E555" i="24"/>
  <c r="E556" i="24"/>
  <c r="E557" i="24"/>
  <c r="E558" i="24"/>
  <c r="E559" i="24"/>
  <c r="G559" i="24" s="1"/>
  <c r="E560" i="24"/>
  <c r="E561" i="24"/>
  <c r="E562" i="24"/>
  <c r="E563" i="24"/>
  <c r="E564" i="24"/>
  <c r="E565" i="24"/>
  <c r="E566" i="24"/>
  <c r="E567" i="24"/>
  <c r="G567" i="24" s="1"/>
  <c r="E568" i="24"/>
  <c r="E569" i="24"/>
  <c r="E570" i="24"/>
  <c r="E571" i="24"/>
  <c r="E572" i="24"/>
  <c r="E573" i="24"/>
  <c r="E574" i="24"/>
  <c r="E575" i="24"/>
  <c r="G575" i="24" s="1"/>
  <c r="E576" i="24"/>
  <c r="E577" i="24"/>
  <c r="E578" i="24"/>
  <c r="E579" i="24"/>
  <c r="G579" i="24" s="1"/>
  <c r="E580" i="24"/>
  <c r="E581" i="24"/>
  <c r="E582" i="24"/>
  <c r="E583" i="24"/>
  <c r="E584" i="24"/>
  <c r="E585" i="24"/>
  <c r="E586" i="24"/>
  <c r="E587" i="24"/>
  <c r="E588" i="24"/>
  <c r="E589" i="24"/>
  <c r="E590" i="24"/>
  <c r="E591" i="24"/>
  <c r="E592" i="24"/>
  <c r="E593" i="24"/>
  <c r="E594" i="24"/>
  <c r="E595" i="24"/>
  <c r="E596" i="24"/>
  <c r="E597" i="24"/>
  <c r="E598" i="24"/>
  <c r="E599" i="24"/>
  <c r="E600" i="24"/>
  <c r="E601" i="24"/>
  <c r="E602" i="24"/>
  <c r="E603" i="24"/>
  <c r="E604" i="24"/>
  <c r="E605" i="24"/>
  <c r="E635" i="24"/>
  <c r="E636" i="24"/>
  <c r="E637" i="24"/>
  <c r="E638" i="24"/>
  <c r="E639" i="24"/>
  <c r="E640" i="24"/>
  <c r="G640" i="24" s="1"/>
  <c r="E641" i="24"/>
  <c r="E642" i="24"/>
  <c r="E643" i="24"/>
  <c r="G643" i="24" s="1"/>
  <c r="E644" i="24"/>
  <c r="G644" i="24" s="1"/>
  <c r="E645" i="24"/>
  <c r="E646" i="24"/>
  <c r="E647" i="24"/>
  <c r="E648" i="24"/>
  <c r="E649" i="24"/>
  <c r="E650" i="24"/>
  <c r="E651" i="24"/>
  <c r="E652" i="24"/>
  <c r="E653" i="24"/>
  <c r="E654" i="24"/>
  <c r="E655" i="24"/>
  <c r="E656" i="24"/>
  <c r="E657" i="24"/>
  <c r="E658" i="24"/>
  <c r="E659" i="24"/>
  <c r="G659" i="24" s="1"/>
  <c r="E660" i="24"/>
  <c r="E661" i="24"/>
  <c r="E662" i="24"/>
  <c r="E663" i="24"/>
  <c r="E664" i="24"/>
  <c r="E665" i="24"/>
  <c r="E666" i="24"/>
  <c r="E667" i="24"/>
  <c r="E668" i="24"/>
  <c r="E669" i="24"/>
  <c r="E670" i="24"/>
  <c r="E671" i="24"/>
  <c r="E672" i="24"/>
  <c r="G672" i="24" s="1"/>
  <c r="E673" i="24"/>
  <c r="E674" i="24"/>
  <c r="E675" i="24"/>
  <c r="E676" i="24"/>
  <c r="G676" i="24" s="1"/>
  <c r="F221" i="24"/>
  <c r="I221" i="24"/>
  <c r="F567" i="24"/>
  <c r="I567" i="24"/>
  <c r="F552" i="24"/>
  <c r="I552" i="24"/>
  <c r="F231" i="24"/>
  <c r="I231" i="24"/>
  <c r="F392" i="24"/>
  <c r="I392" i="24"/>
  <c r="F345" i="24"/>
  <c r="I345" i="24"/>
  <c r="F278" i="24"/>
  <c r="I278" i="24"/>
  <c r="F164" i="24"/>
  <c r="I164" i="24"/>
  <c r="F402" i="24"/>
  <c r="I402" i="24"/>
  <c r="F335" i="24"/>
  <c r="I335" i="24"/>
  <c r="F288" i="24"/>
  <c r="I288" i="24"/>
  <c r="F174" i="24"/>
  <c r="I174" i="24"/>
  <c r="F498" i="24"/>
  <c r="I498" i="24"/>
  <c r="F513" i="24"/>
  <c r="I513" i="24"/>
  <c r="F449" i="24"/>
  <c r="I449" i="24"/>
  <c r="F546" i="24"/>
  <c r="G652" i="24"/>
  <c r="G591" i="24"/>
  <c r="F611" i="24"/>
  <c r="G522" i="24"/>
  <c r="G498" i="24"/>
  <c r="G478" i="24"/>
  <c r="G474" i="24"/>
  <c r="G449" i="24"/>
  <c r="G425" i="24"/>
  <c r="G417" i="24"/>
  <c r="G397" i="24"/>
  <c r="F620" i="24"/>
  <c r="F612" i="24"/>
  <c r="F384" i="24"/>
  <c r="F378" i="24"/>
  <c r="F376" i="24"/>
  <c r="F366" i="24"/>
  <c r="F362" i="24"/>
  <c r="G357" i="24"/>
  <c r="G345" i="24"/>
  <c r="G337" i="24"/>
  <c r="G325" i="24"/>
  <c r="G317" i="24"/>
  <c r="G309" i="24"/>
  <c r="G305" i="24"/>
  <c r="G297" i="24"/>
  <c r="G293" i="24"/>
  <c r="G383" i="24"/>
  <c r="G379" i="24"/>
  <c r="G375" i="24"/>
  <c r="G369" i="24"/>
  <c r="G365" i="24"/>
  <c r="G361" i="24"/>
  <c r="G278" i="24"/>
  <c r="G266" i="24"/>
  <c r="G250" i="24"/>
  <c r="G246" i="24"/>
  <c r="G234" i="24"/>
  <c r="G210" i="24"/>
  <c r="G198" i="24"/>
  <c r="G154" i="24"/>
  <c r="G146" i="24"/>
  <c r="G118" i="24"/>
  <c r="G104" i="24"/>
  <c r="G80" i="24"/>
  <c r="G72" i="24"/>
  <c r="G46" i="24"/>
  <c r="G38" i="24"/>
  <c r="G22" i="24"/>
  <c r="G14" i="24"/>
  <c r="G615" i="24"/>
  <c r="F330" i="24"/>
  <c r="F287" i="24"/>
  <c r="F285" i="24"/>
  <c r="F283" i="24"/>
  <c r="F281" i="24"/>
  <c r="F279" i="24"/>
  <c r="F173" i="24"/>
  <c r="F171" i="24"/>
  <c r="F169" i="24"/>
  <c r="F167" i="24"/>
  <c r="F145" i="24"/>
  <c r="F116" i="24"/>
  <c r="F112" i="24"/>
  <c r="F110" i="24"/>
  <c r="F106" i="24"/>
  <c r="F100" i="24"/>
  <c r="F96" i="24"/>
  <c r="F93" i="24"/>
  <c r="F89" i="24"/>
  <c r="F83" i="24"/>
  <c r="F79" i="24"/>
  <c r="F75" i="24"/>
  <c r="F71" i="24"/>
  <c r="F67" i="24"/>
  <c r="F63" i="24"/>
  <c r="F56" i="24"/>
  <c r="F53" i="24"/>
  <c r="F46" i="24"/>
  <c r="F43" i="24"/>
  <c r="F40" i="24"/>
  <c r="F36" i="24"/>
  <c r="F31" i="24"/>
  <c r="F27" i="24"/>
  <c r="F24" i="24"/>
  <c r="F18" i="24"/>
  <c r="F14" i="24"/>
  <c r="F9" i="24"/>
  <c r="F4" i="24"/>
  <c r="F496" i="24"/>
  <c r="F488" i="24"/>
  <c r="F476" i="24"/>
  <c r="F468" i="24"/>
  <c r="F458" i="24"/>
  <c r="F446" i="24"/>
  <c r="F434" i="24"/>
  <c r="F426" i="24"/>
  <c r="F414" i="24"/>
  <c r="F388" i="24"/>
  <c r="F672" i="24"/>
  <c r="F656" i="24"/>
  <c r="F600" i="24"/>
  <c r="F584" i="24"/>
  <c r="F560" i="24"/>
  <c r="F538" i="24"/>
  <c r="F530" i="24"/>
  <c r="F518" i="24"/>
  <c r="F510" i="24"/>
  <c r="F506" i="24"/>
  <c r="F502" i="24"/>
  <c r="F675" i="24"/>
  <c r="F659" i="24"/>
  <c r="F651" i="24"/>
  <c r="F643" i="24"/>
  <c r="F635" i="24"/>
  <c r="F595" i="24"/>
  <c r="F587" i="24"/>
  <c r="F579" i="24"/>
  <c r="F563" i="24"/>
  <c r="F555" i="24"/>
  <c r="F670" i="24"/>
  <c r="F662" i="24"/>
  <c r="F654" i="24"/>
  <c r="F646" i="24"/>
  <c r="F638" i="24"/>
  <c r="F602" i="24"/>
  <c r="F594" i="24"/>
  <c r="F586" i="24"/>
  <c r="F578" i="24"/>
  <c r="F570" i="24"/>
  <c r="F562" i="24"/>
  <c r="F554" i="24"/>
  <c r="F673" i="24"/>
  <c r="F665" i="24"/>
  <c r="F657" i="24"/>
  <c r="F649" i="24"/>
  <c r="F641" i="24"/>
  <c r="F601" i="24"/>
  <c r="F593" i="24"/>
  <c r="F585" i="24"/>
  <c r="F577" i="24"/>
  <c r="F569" i="24"/>
  <c r="F561" i="24"/>
  <c r="F553" i="24"/>
  <c r="F541" i="24"/>
  <c r="F525" i="24"/>
  <c r="F497" i="24"/>
  <c r="F481" i="24"/>
  <c r="G376" i="24"/>
  <c r="F433" i="24"/>
  <c r="F389" i="24"/>
  <c r="F460" i="24"/>
  <c r="F443" i="24"/>
  <c r="F427" i="24"/>
  <c r="F411" i="24"/>
  <c r="F395" i="24"/>
  <c r="F543" i="24"/>
  <c r="F527" i="24"/>
  <c r="F511" i="24"/>
  <c r="F495" i="24"/>
  <c r="F479" i="24"/>
  <c r="G378" i="24"/>
  <c r="F397" i="24"/>
  <c r="G364" i="24"/>
  <c r="G366" i="24"/>
  <c r="G671" i="24"/>
  <c r="G667" i="24"/>
  <c r="G663" i="24"/>
  <c r="G655" i="24"/>
  <c r="G651" i="24"/>
  <c r="G647" i="24"/>
  <c r="G639" i="24"/>
  <c r="G635" i="24"/>
  <c r="G594" i="24"/>
  <c r="G590" i="24"/>
  <c r="G578" i="24"/>
  <c r="G574" i="24"/>
  <c r="G562" i="24"/>
  <c r="G558" i="24"/>
  <c r="G620" i="24"/>
  <c r="F617" i="24"/>
  <c r="G612" i="24"/>
  <c r="F609" i="24"/>
  <c r="G545" i="24"/>
  <c r="G541" i="24"/>
  <c r="G537" i="24"/>
  <c r="G533" i="24"/>
  <c r="G529" i="24"/>
  <c r="G525" i="24"/>
  <c r="G521" i="24"/>
  <c r="G517" i="24"/>
  <c r="G513" i="24"/>
  <c r="G509" i="24"/>
  <c r="G505" i="24"/>
  <c r="G501" i="24"/>
  <c r="G497" i="24"/>
  <c r="G493" i="24"/>
  <c r="G489" i="24"/>
  <c r="G485" i="24"/>
  <c r="G481" i="24"/>
  <c r="G477" i="24"/>
  <c r="G473" i="24"/>
  <c r="G469" i="24"/>
  <c r="G465" i="24"/>
  <c r="G461" i="24"/>
  <c r="G456" i="24"/>
  <c r="G452" i="24"/>
  <c r="G448" i="24"/>
  <c r="G444" i="24"/>
  <c r="G440" i="24"/>
  <c r="G436" i="24"/>
  <c r="G432" i="24"/>
  <c r="G428" i="24"/>
  <c r="G424" i="24"/>
  <c r="G420" i="24"/>
  <c r="G416" i="24"/>
  <c r="G412" i="24"/>
  <c r="G408" i="24"/>
  <c r="G404" i="24"/>
  <c r="G400" i="24"/>
  <c r="G396" i="24"/>
  <c r="G392" i="24"/>
  <c r="G388" i="24"/>
  <c r="G356" i="24"/>
  <c r="G352" i="24"/>
  <c r="G348" i="24"/>
  <c r="G344" i="24"/>
  <c r="G340" i="24"/>
  <c r="G336" i="24"/>
  <c r="G332" i="24"/>
  <c r="G328" i="24"/>
  <c r="G324" i="24"/>
  <c r="G320" i="24"/>
  <c r="G316" i="24"/>
  <c r="G312" i="24"/>
  <c r="G308" i="24"/>
  <c r="G304" i="24"/>
  <c r="G300" i="24"/>
  <c r="G296" i="24"/>
  <c r="G292" i="24"/>
  <c r="F387" i="24"/>
  <c r="G289" i="24"/>
  <c r="G285" i="24"/>
  <c r="G281" i="24"/>
  <c r="G277" i="24"/>
  <c r="G273" i="24"/>
  <c r="G269" i="24"/>
  <c r="G265" i="24"/>
  <c r="G261" i="24"/>
  <c r="G257" i="24"/>
  <c r="G253" i="24"/>
  <c r="G249" i="24"/>
  <c r="G245" i="24"/>
  <c r="G241" i="24"/>
  <c r="G237" i="24"/>
  <c r="G233" i="24"/>
  <c r="G229" i="24"/>
  <c r="G225" i="24"/>
  <c r="G221" i="24"/>
  <c r="G217" i="24"/>
  <c r="G213" i="24"/>
  <c r="G209" i="24"/>
  <c r="G205" i="24"/>
  <c r="G201" i="24"/>
  <c r="G197" i="24"/>
  <c r="G193" i="24"/>
  <c r="G189" i="24"/>
  <c r="G185" i="24"/>
  <c r="G181" i="24"/>
  <c r="G177" i="24"/>
  <c r="G173" i="24"/>
  <c r="G169" i="24"/>
  <c r="G165" i="24"/>
  <c r="G161" i="24"/>
  <c r="G157" i="24"/>
  <c r="G153" i="24"/>
  <c r="G149" i="24"/>
  <c r="G145" i="24"/>
  <c r="G141" i="24"/>
  <c r="G137" i="24"/>
  <c r="G133" i="24"/>
  <c r="G129" i="24"/>
  <c r="G125" i="24"/>
  <c r="G121" i="24"/>
  <c r="G116" i="24"/>
  <c r="G112" i="24"/>
  <c r="G108" i="24"/>
  <c r="G103" i="24"/>
  <c r="G99" i="24"/>
  <c r="G95" i="24"/>
  <c r="G91" i="24"/>
  <c r="G87" i="24"/>
  <c r="G83" i="24"/>
  <c r="G79" i="24"/>
  <c r="G75" i="24"/>
  <c r="G71" i="24"/>
  <c r="G67" i="24"/>
  <c r="G63" i="24"/>
  <c r="G58" i="24"/>
  <c r="G54" i="24"/>
  <c r="G49" i="24"/>
  <c r="G45" i="24"/>
  <c r="G41" i="24"/>
  <c r="G37" i="24"/>
  <c r="G33" i="24"/>
  <c r="G29" i="24"/>
  <c r="G25" i="24"/>
  <c r="G21" i="24"/>
  <c r="G17" i="24"/>
  <c r="G13" i="24"/>
  <c r="G9" i="24"/>
  <c r="G5" i="24"/>
  <c r="G611" i="24"/>
  <c r="F328" i="24"/>
  <c r="F326" i="24"/>
  <c r="F324" i="24"/>
  <c r="F320" i="24"/>
  <c r="F318" i="24"/>
  <c r="F316" i="24"/>
  <c r="F314" i="24"/>
  <c r="F312" i="24"/>
  <c r="F309" i="24"/>
  <c r="F306" i="24"/>
  <c r="F304" i="24"/>
  <c r="F301" i="24"/>
  <c r="F298" i="24"/>
  <c r="F296" i="24"/>
  <c r="F294" i="24"/>
  <c r="F291" i="24"/>
  <c r="F289" i="24"/>
  <c r="F220" i="24"/>
  <c r="F218" i="24"/>
  <c r="F215" i="24"/>
  <c r="F213" i="24"/>
  <c r="F210" i="24"/>
  <c r="F208" i="24"/>
  <c r="F206" i="24"/>
  <c r="F204" i="24"/>
  <c r="F202" i="24"/>
  <c r="F200" i="24"/>
  <c r="F198" i="24"/>
  <c r="F196" i="24"/>
  <c r="F194" i="24"/>
  <c r="F192" i="24"/>
  <c r="F190" i="24"/>
  <c r="F188" i="24"/>
  <c r="F186" i="24"/>
  <c r="F184" i="24"/>
  <c r="F182" i="24"/>
  <c r="F180" i="24"/>
  <c r="F177" i="24"/>
  <c r="F175" i="24"/>
  <c r="F499" i="24"/>
  <c r="G666" i="24"/>
  <c r="G658" i="24"/>
  <c r="G654" i="24"/>
  <c r="G646" i="24"/>
  <c r="G638" i="24"/>
  <c r="G601" i="24"/>
  <c r="G593" i="24"/>
  <c r="G581" i="24"/>
  <c r="G573" i="24"/>
  <c r="G569" i="24"/>
  <c r="G565" i="24"/>
  <c r="G557" i="24"/>
  <c r="G549" i="24"/>
  <c r="F633" i="24"/>
  <c r="G618" i="24"/>
  <c r="G451" i="24"/>
  <c r="G148" i="24"/>
  <c r="G140" i="24"/>
  <c r="G136" i="24"/>
  <c r="G128" i="24"/>
  <c r="G120" i="24"/>
  <c r="G111" i="24"/>
  <c r="G102" i="24"/>
  <c r="G94" i="24"/>
  <c r="G86" i="24"/>
  <c r="G78" i="24"/>
  <c r="G70" i="24"/>
  <c r="G62" i="24"/>
  <c r="G48" i="24"/>
  <c r="G36" i="24"/>
  <c r="G28" i="24"/>
  <c r="G16" i="24"/>
  <c r="G8" i="24"/>
  <c r="G633" i="24"/>
  <c r="F230" i="24"/>
  <c r="F229" i="24"/>
  <c r="F228" i="24"/>
  <c r="F227" i="24"/>
  <c r="F226" i="24"/>
  <c r="F225" i="24"/>
  <c r="F224" i="24"/>
  <c r="F223" i="24"/>
  <c r="F222" i="24"/>
  <c r="G617" i="24"/>
  <c r="F494" i="24"/>
  <c r="F490" i="24"/>
  <c r="F486" i="24"/>
  <c r="F482" i="24"/>
  <c r="F478" i="24"/>
  <c r="F474" i="24"/>
  <c r="F470" i="24"/>
  <c r="F465" i="24"/>
  <c r="F461" i="24"/>
  <c r="F456" i="24"/>
  <c r="F452" i="24"/>
  <c r="F448" i="24"/>
  <c r="F444" i="24"/>
  <c r="F440" i="24"/>
  <c r="F436" i="24"/>
  <c r="F432" i="24"/>
  <c r="F428" i="24"/>
  <c r="F424" i="24"/>
  <c r="F420" i="24"/>
  <c r="F416" i="24"/>
  <c r="F412" i="24"/>
  <c r="F408" i="24"/>
  <c r="F404" i="24"/>
  <c r="F390" i="24"/>
  <c r="F676" i="24"/>
  <c r="F668" i="24"/>
  <c r="F660" i="24"/>
  <c r="F652" i="24"/>
  <c r="F644" i="24"/>
  <c r="F636" i="24"/>
  <c r="F604" i="24"/>
  <c r="F596" i="24"/>
  <c r="F588" i="24"/>
  <c r="F580" i="24"/>
  <c r="F572" i="24"/>
  <c r="F564" i="24"/>
  <c r="F556" i="24"/>
  <c r="F544" i="24"/>
  <c r="F540" i="24"/>
  <c r="F536" i="24"/>
  <c r="F532" i="24"/>
  <c r="F528" i="24"/>
  <c r="F524" i="24"/>
  <c r="F520" i="24"/>
  <c r="F516" i="24"/>
  <c r="F512" i="24"/>
  <c r="F508" i="24"/>
  <c r="F504" i="24"/>
  <c r="F466" i="24"/>
  <c r="F671" i="24"/>
  <c r="F663" i="24"/>
  <c r="F655" i="24"/>
  <c r="F647" i="24"/>
  <c r="F639" i="24"/>
  <c r="F599" i="24"/>
  <c r="F591" i="24"/>
  <c r="F583" i="24"/>
  <c r="F575" i="24"/>
  <c r="F559" i="24"/>
  <c r="F551" i="24"/>
  <c r="F674" i="24"/>
  <c r="F666" i="24"/>
  <c r="F658" i="24"/>
  <c r="F650" i="24"/>
  <c r="F642" i="24"/>
  <c r="F598" i="24"/>
  <c r="F590" i="24"/>
  <c r="F582" i="24"/>
  <c r="F574" i="24"/>
  <c r="F566" i="24"/>
  <c r="F558" i="24"/>
  <c r="F550" i="24"/>
  <c r="F669" i="24"/>
  <c r="F661" i="24"/>
  <c r="F653" i="24"/>
  <c r="F645" i="24"/>
  <c r="F637" i="24"/>
  <c r="F605" i="24"/>
  <c r="F597" i="24"/>
  <c r="F589" i="24"/>
  <c r="F581" i="24"/>
  <c r="F573" i="24"/>
  <c r="F565" i="24"/>
  <c r="F557" i="24"/>
  <c r="F549" i="24"/>
  <c r="F533" i="24"/>
  <c r="F517" i="24"/>
  <c r="F505" i="24"/>
  <c r="F489" i="24"/>
  <c r="F473" i="24"/>
  <c r="F453" i="24"/>
  <c r="F413" i="24"/>
  <c r="F451" i="24"/>
  <c r="F435" i="24"/>
  <c r="F419" i="24"/>
  <c r="F403" i="24"/>
  <c r="F457" i="24"/>
  <c r="F429" i="24"/>
  <c r="F535" i="24"/>
  <c r="F519" i="24"/>
  <c r="F503" i="24"/>
  <c r="F487" i="24"/>
  <c r="F471" i="24"/>
  <c r="F425" i="24"/>
  <c r="G360" i="24"/>
  <c r="G668" i="24"/>
  <c r="G656" i="24"/>
  <c r="G603" i="24"/>
  <c r="G595" i="24"/>
  <c r="G571" i="24"/>
  <c r="G563" i="24"/>
  <c r="G551" i="24"/>
  <c r="G632" i="24"/>
  <c r="G542" i="24"/>
  <c r="G530" i="24"/>
  <c r="G526" i="24"/>
  <c r="G518" i="24"/>
  <c r="G510" i="24"/>
  <c r="G502" i="24"/>
  <c r="G494" i="24"/>
  <c r="G490" i="24"/>
  <c r="G482" i="24"/>
  <c r="G470" i="24"/>
  <c r="G462" i="24"/>
  <c r="G453" i="24"/>
  <c r="G445" i="24"/>
  <c r="G437" i="24"/>
  <c r="G429" i="24"/>
  <c r="G421" i="24"/>
  <c r="G413" i="24"/>
  <c r="G409" i="24"/>
  <c r="G401" i="24"/>
  <c r="G393" i="24"/>
  <c r="G389" i="24"/>
  <c r="F632" i="24"/>
  <c r="F618" i="24"/>
  <c r="F614" i="24"/>
  <c r="F610" i="24"/>
  <c r="F386" i="24"/>
  <c r="F382" i="24"/>
  <c r="F374" i="24"/>
  <c r="F370" i="24"/>
  <c r="F368" i="24"/>
  <c r="F360" i="24"/>
  <c r="G353" i="24"/>
  <c r="G349" i="24"/>
  <c r="G341" i="24"/>
  <c r="G333" i="24"/>
  <c r="G329" i="24"/>
  <c r="G321" i="24"/>
  <c r="G313" i="24"/>
  <c r="G301" i="24"/>
  <c r="G385" i="24"/>
  <c r="G381" i="24"/>
  <c r="G377" i="24"/>
  <c r="G373" i="24"/>
  <c r="G371" i="24"/>
  <c r="G367" i="24"/>
  <c r="G363" i="24"/>
  <c r="G290" i="24"/>
  <c r="G282" i="24"/>
  <c r="G274" i="24"/>
  <c r="G270" i="24"/>
  <c r="G262" i="24"/>
  <c r="G254" i="24"/>
  <c r="G242" i="24"/>
  <c r="G238" i="24"/>
  <c r="G230" i="24"/>
  <c r="G222" i="24"/>
  <c r="G214" i="24"/>
  <c r="G206" i="24"/>
  <c r="G202" i="24"/>
  <c r="G194" i="24"/>
  <c r="G186" i="24"/>
  <c r="G178" i="24"/>
  <c r="G170" i="24"/>
  <c r="G162" i="24"/>
  <c r="G158" i="24"/>
  <c r="G150" i="24"/>
  <c r="G142" i="24"/>
  <c r="G138" i="24"/>
  <c r="G130" i="24"/>
  <c r="G122" i="24"/>
  <c r="G113" i="24"/>
  <c r="G109" i="24"/>
  <c r="G100" i="24"/>
  <c r="G92" i="24"/>
  <c r="G84" i="24"/>
  <c r="G76" i="24"/>
  <c r="G68" i="24"/>
  <c r="G64" i="24"/>
  <c r="G51" i="24"/>
  <c r="G42" i="24"/>
  <c r="G34" i="24"/>
  <c r="G18" i="24"/>
  <c r="G6" i="24"/>
  <c r="F286" i="24"/>
  <c r="F284" i="24"/>
  <c r="F282" i="24"/>
  <c r="F280" i="24"/>
  <c r="F172" i="24"/>
  <c r="F170" i="24"/>
  <c r="F168" i="24"/>
  <c r="F166" i="24"/>
  <c r="F165" i="24"/>
  <c r="F120" i="24"/>
  <c r="F114" i="24"/>
  <c r="F108" i="24"/>
  <c r="F104" i="24"/>
  <c r="F102" i="24"/>
  <c r="F98" i="24"/>
  <c r="F95" i="24"/>
  <c r="F91" i="24"/>
  <c r="F87" i="24"/>
  <c r="F85" i="24"/>
  <c r="F81" i="24"/>
  <c r="F77" i="24"/>
  <c r="F73" i="24"/>
  <c r="F69" i="24"/>
  <c r="F65" i="24"/>
  <c r="F61" i="24"/>
  <c r="F58" i="24"/>
  <c r="F54" i="24"/>
  <c r="F51" i="24"/>
  <c r="F48" i="24"/>
  <c r="F45" i="24"/>
  <c r="F41" i="24"/>
  <c r="F38" i="24"/>
  <c r="F34" i="24"/>
  <c r="F32" i="24"/>
  <c r="F29" i="24"/>
  <c r="F26" i="24"/>
  <c r="F22" i="24"/>
  <c r="F20" i="24"/>
  <c r="F16" i="24"/>
  <c r="F12" i="24"/>
  <c r="F10" i="24"/>
  <c r="F7" i="24"/>
  <c r="F5" i="24"/>
  <c r="F548" i="24"/>
  <c r="F492" i="24"/>
  <c r="F484" i="24"/>
  <c r="F480" i="24"/>
  <c r="F472" i="24"/>
  <c r="F463" i="24"/>
  <c r="F454" i="24"/>
  <c r="F450" i="24"/>
  <c r="F442" i="24"/>
  <c r="F438" i="24"/>
  <c r="F430" i="24"/>
  <c r="F422" i="24"/>
  <c r="F418" i="24"/>
  <c r="F410" i="24"/>
  <c r="F406" i="24"/>
  <c r="F664" i="24"/>
  <c r="F648" i="24"/>
  <c r="F640" i="24"/>
  <c r="F592" i="24"/>
  <c r="F576" i="24"/>
  <c r="F568" i="24"/>
  <c r="F542" i="24"/>
  <c r="F534" i="24"/>
  <c r="F526" i="24"/>
  <c r="F522" i="24"/>
  <c r="F514" i="24"/>
  <c r="F667" i="24"/>
  <c r="F603" i="24"/>
  <c r="F571" i="24"/>
  <c r="F405" i="24"/>
  <c r="F329" i="24"/>
  <c r="F327" i="24"/>
  <c r="F325" i="24"/>
  <c r="F323" i="24"/>
  <c r="F322" i="24"/>
  <c r="F321" i="24"/>
  <c r="F319" i="24"/>
  <c r="F317" i="24"/>
  <c r="F315" i="24"/>
  <c r="F313" i="24"/>
  <c r="F311" i="24"/>
  <c r="F310" i="24"/>
  <c r="F308" i="24"/>
  <c r="F307" i="24"/>
  <c r="F305" i="24"/>
  <c r="F303" i="24"/>
  <c r="F302" i="24"/>
  <c r="F300" i="24"/>
  <c r="F299" i="24"/>
  <c r="F297" i="24"/>
  <c r="F295" i="24"/>
  <c r="F293" i="24"/>
  <c r="F292" i="24"/>
  <c r="F290" i="24"/>
  <c r="F219" i="24"/>
  <c r="F217" i="24"/>
  <c r="F216" i="24"/>
  <c r="F214" i="24"/>
  <c r="F212" i="24"/>
  <c r="F211" i="24"/>
  <c r="F209" i="24"/>
  <c r="F207" i="24"/>
  <c r="F205" i="24"/>
  <c r="F203" i="24"/>
  <c r="F201" i="24"/>
  <c r="F199" i="24"/>
  <c r="F197" i="24"/>
  <c r="F195" i="24"/>
  <c r="F193" i="24"/>
  <c r="F191" i="24"/>
  <c r="F189" i="24"/>
  <c r="F187" i="24"/>
  <c r="F185" i="24"/>
  <c r="F183" i="24"/>
  <c r="F181" i="24"/>
  <c r="F179" i="24"/>
  <c r="F178" i="24"/>
  <c r="F176" i="24"/>
  <c r="G631" i="24"/>
  <c r="F398" i="24"/>
  <c r="F394" i="24"/>
  <c r="G386" i="24"/>
  <c r="F545" i="24"/>
  <c r="F529" i="24"/>
  <c r="F501" i="24"/>
  <c r="F485" i="24"/>
  <c r="F469" i="24"/>
  <c r="F445" i="24"/>
  <c r="F401" i="24"/>
  <c r="F464" i="24"/>
  <c r="F447" i="24"/>
  <c r="F431" i="24"/>
  <c r="F415" i="24"/>
  <c r="F399" i="24"/>
  <c r="F417" i="24"/>
  <c r="F547" i="24"/>
  <c r="F531" i="24"/>
  <c r="F515" i="24"/>
  <c r="F483" i="24"/>
  <c r="F467" i="24"/>
  <c r="F409" i="24"/>
  <c r="G674" i="24"/>
  <c r="G670" i="24"/>
  <c r="G662" i="24"/>
  <c r="G650" i="24"/>
  <c r="G642" i="24"/>
  <c r="G605" i="24"/>
  <c r="G597" i="24"/>
  <c r="G589" i="24"/>
  <c r="G585" i="24"/>
  <c r="G577" i="24"/>
  <c r="G561" i="24"/>
  <c r="G553" i="24"/>
  <c r="F615" i="24"/>
  <c r="G610" i="24"/>
  <c r="F607" i="24"/>
  <c r="G544" i="24"/>
  <c r="G540" i="24"/>
  <c r="G536" i="24"/>
  <c r="G532" i="24"/>
  <c r="G528" i="24"/>
  <c r="G524" i="24"/>
  <c r="G520" i="24"/>
  <c r="G516" i="24"/>
  <c r="G512" i="24"/>
  <c r="G508" i="24"/>
  <c r="G504" i="24"/>
  <c r="G500" i="24"/>
  <c r="G496" i="24"/>
  <c r="G492" i="24"/>
  <c r="G488" i="24"/>
  <c r="G484" i="24"/>
  <c r="G480" i="24"/>
  <c r="G476" i="24"/>
  <c r="G472" i="24"/>
  <c r="G468" i="24"/>
  <c r="G464" i="24"/>
  <c r="G460" i="24"/>
  <c r="G455" i="24"/>
  <c r="G447" i="24"/>
  <c r="G443" i="24"/>
  <c r="G439" i="24"/>
  <c r="G435" i="24"/>
  <c r="G431" i="24"/>
  <c r="G427" i="24"/>
  <c r="G423" i="24"/>
  <c r="G419" i="24"/>
  <c r="G415" i="24"/>
  <c r="G411" i="24"/>
  <c r="G407" i="24"/>
  <c r="G403" i="24"/>
  <c r="G399" i="24"/>
  <c r="G395" i="24"/>
  <c r="G391" i="24"/>
  <c r="G359" i="24"/>
  <c r="G355" i="24"/>
  <c r="G351" i="24"/>
  <c r="G347" i="24"/>
  <c r="G343" i="24"/>
  <c r="G339" i="24"/>
  <c r="G335" i="24"/>
  <c r="G331" i="24"/>
  <c r="G327" i="24"/>
  <c r="G323" i="24"/>
  <c r="G319" i="24"/>
  <c r="G315" i="24"/>
  <c r="G311" i="24"/>
  <c r="G307" i="24"/>
  <c r="G303" i="24"/>
  <c r="G299" i="24"/>
  <c r="G295" i="24"/>
  <c r="G291" i="24"/>
  <c r="F385" i="24"/>
  <c r="F383" i="24"/>
  <c r="F381" i="24"/>
  <c r="F379" i="24"/>
  <c r="F377" i="24"/>
  <c r="F375" i="24"/>
  <c r="F373" i="24"/>
  <c r="F371" i="24"/>
  <c r="F369" i="24"/>
  <c r="F367" i="24"/>
  <c r="F365" i="24"/>
  <c r="F363" i="24"/>
  <c r="F361" i="24"/>
  <c r="G288" i="24"/>
  <c r="G284" i="24"/>
  <c r="G280" i="24"/>
  <c r="G276" i="24"/>
  <c r="G272" i="24"/>
  <c r="G268" i="24"/>
  <c r="G264" i="24"/>
  <c r="G260" i="24"/>
  <c r="G256" i="24"/>
  <c r="G252" i="24"/>
  <c r="G248" i="24"/>
  <c r="G244" i="24"/>
  <c r="G240" i="24"/>
  <c r="G236" i="24"/>
  <c r="G232" i="24"/>
  <c r="G228" i="24"/>
  <c r="G224" i="24"/>
  <c r="G220" i="24"/>
  <c r="G216" i="24"/>
  <c r="G212" i="24"/>
  <c r="G208" i="24"/>
  <c r="G204" i="24"/>
  <c r="G200" i="24"/>
  <c r="G196" i="24"/>
  <c r="G192" i="24"/>
  <c r="G188" i="24"/>
  <c r="G184" i="24"/>
  <c r="G180" i="24"/>
  <c r="G176" i="24"/>
  <c r="G172" i="24"/>
  <c r="G168" i="24"/>
  <c r="G164" i="24"/>
  <c r="G160" i="24"/>
  <c r="G156" i="24"/>
  <c r="G152" i="24"/>
  <c r="G144" i="24"/>
  <c r="G132" i="24"/>
  <c r="G124" i="24"/>
  <c r="G115" i="24"/>
  <c r="G106" i="24"/>
  <c r="G98" i="24"/>
  <c r="G90" i="24"/>
  <c r="G82" i="24"/>
  <c r="G74" i="24"/>
  <c r="G66" i="24"/>
  <c r="G57" i="24"/>
  <c r="G53" i="24"/>
  <c r="G44" i="24"/>
  <c r="G40" i="24"/>
  <c r="G32" i="24"/>
  <c r="G24" i="24"/>
  <c r="G20" i="24"/>
  <c r="G12" i="24"/>
  <c r="G4" i="24"/>
  <c r="G607" i="24"/>
  <c r="G673" i="24"/>
  <c r="G669" i="24"/>
  <c r="G665" i="24"/>
  <c r="G661" i="24"/>
  <c r="G657" i="24"/>
  <c r="G653" i="24"/>
  <c r="G649" i="24"/>
  <c r="G645" i="24"/>
  <c r="G641" i="24"/>
  <c r="G637" i="24"/>
  <c r="G604" i="24"/>
  <c r="G600" i="24"/>
  <c r="G596" i="24"/>
  <c r="G592" i="24"/>
  <c r="G588" i="24"/>
  <c r="G584" i="24"/>
  <c r="G580" i="24"/>
  <c r="G576" i="24"/>
  <c r="G572" i="24"/>
  <c r="G568" i="24"/>
  <c r="G564" i="24"/>
  <c r="G560" i="24"/>
  <c r="G556" i="24"/>
  <c r="G552" i="24"/>
  <c r="G634" i="24"/>
  <c r="F631" i="24"/>
  <c r="G616" i="24"/>
  <c r="F613" i="24"/>
  <c r="G608" i="24"/>
  <c r="G547" i="24"/>
  <c r="G543" i="24"/>
  <c r="G539" i="24"/>
  <c r="G535" i="24"/>
  <c r="G531" i="24"/>
  <c r="G527" i="24"/>
  <c r="G523" i="24"/>
  <c r="G519" i="24"/>
  <c r="G515" i="24"/>
  <c r="G511" i="24"/>
  <c r="G507" i="24"/>
  <c r="G503" i="24"/>
  <c r="G499" i="24"/>
  <c r="G495" i="24"/>
  <c r="G491" i="24"/>
  <c r="G487" i="24"/>
  <c r="G483" i="24"/>
  <c r="G479" i="24"/>
  <c r="G475" i="24"/>
  <c r="G471" i="24"/>
  <c r="G467" i="24"/>
  <c r="G463" i="24"/>
  <c r="G458" i="24"/>
  <c r="G454" i="24"/>
  <c r="G450" i="24"/>
  <c r="G446" i="24"/>
  <c r="G442" i="24"/>
  <c r="G438" i="24"/>
  <c r="G434" i="24"/>
  <c r="G430" i="24"/>
  <c r="G426" i="24"/>
  <c r="G422" i="24"/>
  <c r="G418" i="24"/>
  <c r="G414" i="24"/>
  <c r="G410" i="24"/>
  <c r="G406" i="24"/>
  <c r="G402" i="24"/>
  <c r="G398" i="24"/>
  <c r="G394" i="24"/>
  <c r="G390" i="24"/>
  <c r="F634" i="24"/>
  <c r="G358" i="24"/>
  <c r="G354" i="24"/>
  <c r="G350" i="24"/>
  <c r="G346" i="24"/>
  <c r="G342" i="24"/>
  <c r="G338" i="24"/>
  <c r="G334" i="24"/>
  <c r="G330" i="24"/>
  <c r="G326" i="24"/>
  <c r="G322" i="24"/>
  <c r="G318" i="24"/>
  <c r="G314" i="24"/>
  <c r="G310" i="24"/>
  <c r="G306" i="24"/>
  <c r="G302" i="24"/>
  <c r="G298" i="24"/>
  <c r="G294" i="24"/>
  <c r="G387" i="24"/>
  <c r="G287" i="24"/>
  <c r="G283" i="24"/>
  <c r="G279" i="24"/>
  <c r="G275" i="24"/>
  <c r="G271" i="24"/>
  <c r="G267" i="24"/>
  <c r="G263" i="24"/>
  <c r="G259" i="24"/>
  <c r="G255" i="24"/>
  <c r="G251" i="24"/>
  <c r="G247" i="24"/>
  <c r="G243" i="24"/>
  <c r="G239" i="24"/>
  <c r="G235" i="24"/>
  <c r="G231" i="24"/>
  <c r="G227" i="24"/>
  <c r="G223" i="24"/>
  <c r="G219" i="24"/>
  <c r="G215" i="24"/>
  <c r="G211" i="24"/>
  <c r="G207" i="24"/>
  <c r="G203" i="24"/>
  <c r="G199" i="24"/>
  <c r="G195" i="24"/>
  <c r="G191" i="24"/>
  <c r="G187" i="24"/>
  <c r="G183" i="24"/>
  <c r="G179" i="24"/>
  <c r="G175" i="24"/>
  <c r="G171" i="24"/>
  <c r="G167" i="24"/>
  <c r="G163" i="24"/>
  <c r="G159" i="24"/>
  <c r="G155" i="24"/>
  <c r="G151" i="24"/>
  <c r="G147" i="24"/>
  <c r="G143" i="24"/>
  <c r="G139" i="24"/>
  <c r="G135" i="24"/>
  <c r="G131" i="24"/>
  <c r="G127" i="24"/>
  <c r="G123" i="24"/>
  <c r="G119" i="24"/>
  <c r="G114" i="24"/>
  <c r="G110" i="24"/>
  <c r="G105" i="24"/>
  <c r="G101" i="24"/>
  <c r="G97" i="24"/>
  <c r="G93" i="24"/>
  <c r="G89" i="24"/>
  <c r="G85" i="24"/>
  <c r="G81" i="24"/>
  <c r="G77" i="24"/>
  <c r="G73" i="24"/>
  <c r="G69" i="24"/>
  <c r="G65" i="24"/>
  <c r="G61" i="24"/>
  <c r="G56" i="24"/>
  <c r="G52" i="24"/>
  <c r="G47" i="24"/>
  <c r="G43" i="24"/>
  <c r="G39" i="24"/>
  <c r="G35" i="24"/>
  <c r="G31" i="24"/>
  <c r="G27" i="24"/>
  <c r="G23" i="24"/>
  <c r="G19" i="24"/>
  <c r="G15" i="24"/>
  <c r="G11" i="24"/>
  <c r="G7" i="24"/>
  <c r="G619" i="24"/>
  <c r="F277" i="24"/>
  <c r="F276" i="24"/>
  <c r="F275" i="24"/>
  <c r="F274" i="24"/>
  <c r="F273" i="24"/>
  <c r="F272" i="24"/>
  <c r="F271" i="24"/>
  <c r="F270" i="24"/>
  <c r="F269" i="24"/>
  <c r="F268" i="24"/>
  <c r="F267" i="24"/>
  <c r="F266" i="24"/>
  <c r="F265" i="24"/>
  <c r="F264" i="24"/>
  <c r="F263" i="24"/>
  <c r="F262" i="24"/>
  <c r="F261" i="24"/>
  <c r="F260" i="24"/>
  <c r="F259" i="24"/>
  <c r="F258" i="24"/>
  <c r="F257" i="24"/>
  <c r="F256" i="24"/>
  <c r="F255" i="24"/>
  <c r="F254" i="24"/>
  <c r="F253" i="24"/>
  <c r="F252" i="24"/>
  <c r="F251" i="24"/>
  <c r="F250" i="24"/>
  <c r="F249" i="24"/>
  <c r="F248" i="24"/>
  <c r="F247" i="24"/>
  <c r="F246" i="24"/>
  <c r="F245" i="24"/>
  <c r="F244" i="24"/>
  <c r="F243" i="24"/>
  <c r="F242" i="24"/>
  <c r="F241" i="24"/>
  <c r="F240" i="24"/>
  <c r="F239" i="24"/>
  <c r="F238" i="24"/>
  <c r="F237" i="24"/>
  <c r="F236" i="24"/>
  <c r="F235" i="24"/>
  <c r="F234" i="24"/>
  <c r="F233" i="24"/>
  <c r="F232" i="24"/>
  <c r="F163" i="24"/>
  <c r="F162" i="24"/>
  <c r="F161" i="24"/>
  <c r="F160" i="24"/>
  <c r="F159" i="24"/>
  <c r="F158" i="24"/>
  <c r="F157" i="24"/>
  <c r="F156" i="24"/>
  <c r="F155" i="24"/>
  <c r="F154" i="24"/>
  <c r="F153" i="24"/>
  <c r="F152" i="24"/>
  <c r="F151" i="24"/>
  <c r="F150" i="24"/>
  <c r="F149" i="24"/>
  <c r="F148" i="24"/>
  <c r="F147" i="24"/>
  <c r="F146" i="24"/>
  <c r="F144" i="24"/>
  <c r="F143" i="24"/>
  <c r="F142" i="24"/>
  <c r="F141" i="24"/>
  <c r="F140" i="24"/>
  <c r="F139" i="24"/>
  <c r="F138" i="24"/>
  <c r="F137" i="24"/>
  <c r="F136" i="24"/>
  <c r="F135" i="24"/>
  <c r="F134" i="24"/>
  <c r="F133" i="24"/>
  <c r="F132" i="24"/>
  <c r="F131" i="24"/>
  <c r="F130" i="24"/>
  <c r="F129" i="24"/>
  <c r="F128" i="24"/>
  <c r="F127" i="24"/>
  <c r="F126" i="24"/>
  <c r="F125" i="24"/>
  <c r="F124" i="24"/>
  <c r="F123" i="24"/>
  <c r="F122" i="24"/>
  <c r="F121" i="24"/>
  <c r="F119" i="24"/>
  <c r="F118" i="24"/>
  <c r="F115" i="24"/>
  <c r="F113" i="24"/>
  <c r="F111" i="24"/>
  <c r="F109" i="24"/>
  <c r="F105" i="24"/>
  <c r="F103" i="24"/>
  <c r="F101" i="24"/>
  <c r="F99" i="24"/>
  <c r="F97" i="24"/>
  <c r="F94" i="24"/>
  <c r="F92" i="24"/>
  <c r="F90" i="24"/>
  <c r="F88" i="24"/>
  <c r="F86" i="24"/>
  <c r="F84" i="24"/>
  <c r="F82" i="24"/>
  <c r="F80" i="24"/>
  <c r="F78" i="24"/>
  <c r="F76" i="24"/>
  <c r="F74" i="24"/>
  <c r="F72" i="24"/>
  <c r="F70" i="24"/>
  <c r="F68" i="24"/>
  <c r="F66" i="24"/>
  <c r="F64" i="24"/>
  <c r="F62" i="24"/>
  <c r="F59" i="24"/>
  <c r="F57" i="24"/>
  <c r="F55" i="24"/>
  <c r="F52" i="24"/>
  <c r="F49" i="24"/>
  <c r="F47" i="24"/>
  <c r="F44" i="24"/>
  <c r="F42" i="24"/>
  <c r="F39" i="24"/>
  <c r="F37" i="24"/>
  <c r="F35" i="24"/>
  <c r="F33" i="24"/>
  <c r="F30" i="24"/>
  <c r="F28" i="24"/>
  <c r="F25" i="24"/>
  <c r="F23" i="24"/>
  <c r="F21" i="24"/>
  <c r="F19" i="24"/>
  <c r="F17" i="24"/>
  <c r="F15" i="24"/>
  <c r="F13" i="24"/>
  <c r="F11" i="24"/>
  <c r="F8" i="24"/>
  <c r="F6" i="24"/>
  <c r="G609" i="24"/>
  <c r="F500" i="24"/>
  <c r="F400" i="24"/>
  <c r="F396" i="24"/>
  <c r="F537" i="24"/>
  <c r="F521" i="24"/>
  <c r="F509" i="24"/>
  <c r="F493" i="24"/>
  <c r="F477" i="24"/>
  <c r="F462" i="24"/>
  <c r="F421" i="24"/>
  <c r="F455" i="24"/>
  <c r="F439" i="24"/>
  <c r="F423" i="24"/>
  <c r="F407" i="24"/>
  <c r="F391" i="24"/>
  <c r="F441" i="24"/>
  <c r="F393" i="24"/>
  <c r="F539" i="24"/>
  <c r="F523" i="24"/>
  <c r="F507" i="24"/>
  <c r="F491" i="24"/>
  <c r="F475" i="24"/>
  <c r="F437" i="24"/>
  <c r="G372" i="24"/>
  <c r="G374" i="24"/>
  <c r="G368" i="24"/>
  <c r="G370" i="24"/>
  <c r="G587" i="24" l="1"/>
  <c r="G648" i="24"/>
  <c r="G550" i="24"/>
  <c r="G554" i="24"/>
  <c r="G566" i="24"/>
  <c r="G570" i="24"/>
  <c r="G582" i="24"/>
  <c r="G586" i="24"/>
  <c r="G598" i="24"/>
  <c r="G602" i="24"/>
  <c r="G675" i="24"/>
  <c r="G10" i="24"/>
  <c r="G59" i="24"/>
  <c r="G96" i="24"/>
  <c r="G134" i="24"/>
  <c r="G190" i="24"/>
  <c r="G226" i="24"/>
  <c r="G258" i="24"/>
  <c r="G286" i="24"/>
  <c r="G466" i="24"/>
  <c r="G486" i="24"/>
  <c r="G514" i="24"/>
  <c r="G546" i="24"/>
  <c r="G555" i="24"/>
  <c r="G583" i="24"/>
  <c r="G636" i="24"/>
  <c r="G664" i="24"/>
  <c r="F364" i="24"/>
  <c r="F380" i="24"/>
  <c r="F372" i="24"/>
  <c r="F608" i="24"/>
  <c r="F616" i="24"/>
  <c r="G599" i="24"/>
  <c r="G660" i="24"/>
</calcChain>
</file>

<file path=xl/sharedStrings.xml><?xml version="1.0" encoding="utf-8"?>
<sst xmlns="http://schemas.openxmlformats.org/spreadsheetml/2006/main" count="6333" uniqueCount="3598">
  <si>
    <t>Полки 2мм</t>
  </si>
  <si>
    <t>Скоба</t>
  </si>
  <si>
    <t>Наименование</t>
  </si>
  <si>
    <t>К 239ц (60х40х40) Профиль монтажный зетовый</t>
  </si>
  <si>
    <t>К 241ц (32х40х32) Профиль монтажный зетовый</t>
  </si>
  <si>
    <t>К 237ц Профиль монтажный (50х36)</t>
  </si>
  <si>
    <t xml:space="preserve">К 242ц Профиль монтажный (60х40) </t>
  </si>
  <si>
    <t>К 225ц (80х40) Профиль монтажный</t>
  </si>
  <si>
    <t>К 235ц (60х32) Профиль монтажный</t>
  </si>
  <si>
    <t>К 240ц (60х32) Профиль монтажный</t>
  </si>
  <si>
    <t>Лоток перфорированный</t>
  </si>
  <si>
    <t xml:space="preserve">Ответвитель T-образный горизонтальный  </t>
  </si>
  <si>
    <t xml:space="preserve">Ответвитель X-образный горизонтальный  </t>
  </si>
  <si>
    <t>Стойка 2мм</t>
  </si>
  <si>
    <t>U-образный профиль (швеллер) 2,0мм</t>
  </si>
  <si>
    <t>Z-образный профиль 2,0мм</t>
  </si>
  <si>
    <t>Полоса 2,0мм</t>
  </si>
  <si>
    <t>ZП 45х25х25 Профиль монтажный зетовый</t>
  </si>
  <si>
    <t>Траверса монтажная L-3м</t>
  </si>
  <si>
    <t>L 30х30</t>
  </si>
  <si>
    <t>Лоток лестничный</t>
  </si>
  <si>
    <t>Крышка лотка</t>
  </si>
  <si>
    <t>Системы подвеса</t>
  </si>
  <si>
    <t>Шпилька реьбовая</t>
  </si>
  <si>
    <t>Шпилька резьбовая 6*1000</t>
  </si>
  <si>
    <t>Шпилька резьбовая 6*2000</t>
  </si>
  <si>
    <t>Шпилька резьбовая 8*1000</t>
  </si>
  <si>
    <t>Шпилька резьбовая 8*2000</t>
  </si>
  <si>
    <t>Шпилька резьбовая 10*1000</t>
  </si>
  <si>
    <t>Шпилька резьбовая 10*2000</t>
  </si>
  <si>
    <t>Соденительный комплект</t>
  </si>
  <si>
    <t xml:space="preserve">Болт </t>
  </si>
  <si>
    <t>Болт 6*12</t>
  </si>
  <si>
    <t>Болт 6*50</t>
  </si>
  <si>
    <t>Гайка</t>
  </si>
  <si>
    <t>Гайка М6</t>
  </si>
  <si>
    <t>Гайка М8</t>
  </si>
  <si>
    <t>Гайка М10</t>
  </si>
  <si>
    <t>Шайба</t>
  </si>
  <si>
    <t xml:space="preserve">Шайба М6 </t>
  </si>
  <si>
    <t>Шайба М8</t>
  </si>
  <si>
    <t>Гайка М6 с насечкой</t>
  </si>
  <si>
    <t>Шайба М10</t>
  </si>
  <si>
    <t>Струбцина монтажная</t>
  </si>
  <si>
    <t>Струбцина монтажная М8</t>
  </si>
  <si>
    <t>Струбцина монтажная М10</t>
  </si>
  <si>
    <t>V-кронштейн д/проф.М8 с гайкой</t>
  </si>
  <si>
    <t>V-кронштейн д/проф.М10 с гайкой</t>
  </si>
  <si>
    <t>V-обр. кронштей д/проф.</t>
  </si>
  <si>
    <t>Анкер забивной</t>
  </si>
  <si>
    <t>Анкер забивной М6</t>
  </si>
  <si>
    <t>Анкер забивной М6 латунь</t>
  </si>
  <si>
    <t>Анкер забивной М8</t>
  </si>
  <si>
    <t>Анкер забивной М8 латунь</t>
  </si>
  <si>
    <t>Анкер забивной М10</t>
  </si>
  <si>
    <t>Анкер забивной М10 латунь</t>
  </si>
  <si>
    <t xml:space="preserve">Гайка соеденительная </t>
  </si>
  <si>
    <t>Гайка соеденительная М8</t>
  </si>
  <si>
    <t>Гайка соеденительная М6</t>
  </si>
  <si>
    <t>Гайка соеденительная М10</t>
  </si>
  <si>
    <t>ПП40 (К-107) 40мм полоса</t>
  </si>
  <si>
    <t>ПП30 30мм полоса</t>
  </si>
  <si>
    <t>Ключ</t>
  </si>
  <si>
    <t>Ключ К1156</t>
  </si>
  <si>
    <t>УП 90°50*35 плоский</t>
  </si>
  <si>
    <t>УП 90°50*50 плоский</t>
  </si>
  <si>
    <t>УП 90°60*40 плоский</t>
  </si>
  <si>
    <t>УП 90°100*50 плоский</t>
  </si>
  <si>
    <t>УП 90°100*80 плоский</t>
  </si>
  <si>
    <t>УП 90°100*100 плоский</t>
  </si>
  <si>
    <t>УП 90°150*50 плоский</t>
  </si>
  <si>
    <t>УП 90°150*80 плоский</t>
  </si>
  <si>
    <t>УП 90°150*100 плоский</t>
  </si>
  <si>
    <t>УП 90°150*150 плоский</t>
  </si>
  <si>
    <t>УП 90°200*50 плоский</t>
  </si>
  <si>
    <t>УП 90°200*80 плоский</t>
  </si>
  <si>
    <t>УП 90°200*100 плоский</t>
  </si>
  <si>
    <t>УП 90°200*150 плоский</t>
  </si>
  <si>
    <t>УП 90°200*200 плоский</t>
  </si>
  <si>
    <t>УП 90°250*50 плоский</t>
  </si>
  <si>
    <t>УП 90°250*80 плоский</t>
  </si>
  <si>
    <t>УП 90°250*100 плоский</t>
  </si>
  <si>
    <t>УП 90°250*150 плоский</t>
  </si>
  <si>
    <t>УП 90°250*200 плоский</t>
  </si>
  <si>
    <t>УП 90°300*50 плоский</t>
  </si>
  <si>
    <t>УП 90°300*80 плоский</t>
  </si>
  <si>
    <t>УП 90°300*100 плоский</t>
  </si>
  <si>
    <t>УП 90°300*150 плоский</t>
  </si>
  <si>
    <t>УП 90°300*200 плоский</t>
  </si>
  <si>
    <t>УП 90°400*50 плоский</t>
  </si>
  <si>
    <t>УП 90°400*80 плоский</t>
  </si>
  <si>
    <t>УП 90°400*100 плоский</t>
  </si>
  <si>
    <t>УП 90°400*150 плоский</t>
  </si>
  <si>
    <t>УП 90°400*200 плоский</t>
  </si>
  <si>
    <t>УП 90°500*50 плоский</t>
  </si>
  <si>
    <t>УП 90°500*80 плоский</t>
  </si>
  <si>
    <t>УП 90°500*100 плоский</t>
  </si>
  <si>
    <t>УП 90°500*150 плоский</t>
  </si>
  <si>
    <t>УП 90°500*200 плоский</t>
  </si>
  <si>
    <t>КУП 90° 50  крышка угла плоского</t>
  </si>
  <si>
    <t>КУП 90° 100  крышка угла плоского</t>
  </si>
  <si>
    <t>КУП 90° 150  крышка угла плоского</t>
  </si>
  <si>
    <t>КУП 90° 200  крышка угла плоского</t>
  </si>
  <si>
    <t>КУП 90° 250  крышка угла плоского</t>
  </si>
  <si>
    <t>КУП 90° 300  крышка угла плоского</t>
  </si>
  <si>
    <t>КУП 90° 400  крышка угла плоского</t>
  </si>
  <si>
    <t>КУП 90° 500  крышка угла плоского</t>
  </si>
  <si>
    <t>УП 45°50*50 плоский</t>
  </si>
  <si>
    <t>УП 45°100*50 плоский</t>
  </si>
  <si>
    <t>УП 45°100*80 плоский</t>
  </si>
  <si>
    <t>УП 45°100*100 плоский</t>
  </si>
  <si>
    <t>УП 45°150*50 плоский</t>
  </si>
  <si>
    <t>УП 45°150*80 плоский</t>
  </si>
  <si>
    <t>УП 45°150*100 плоский</t>
  </si>
  <si>
    <t>УП 45°150*150 плоский</t>
  </si>
  <si>
    <t>УП 45°200*50 плоский</t>
  </si>
  <si>
    <t>УП 45°200*80 плоский</t>
  </si>
  <si>
    <t>УП 45°200*100 плоский</t>
  </si>
  <si>
    <t>УП 45°200*150 плоский</t>
  </si>
  <si>
    <t>УП 45°200*200 плоский</t>
  </si>
  <si>
    <t>УП 45°250*50 плоский</t>
  </si>
  <si>
    <t>УП 45°250*80 плоский</t>
  </si>
  <si>
    <t>УП 45°250*100 плоский</t>
  </si>
  <si>
    <t>УП 45°250*150 плоский</t>
  </si>
  <si>
    <t>УП 45°250*200 плоский</t>
  </si>
  <si>
    <t>УП 45°300*50 плоский</t>
  </si>
  <si>
    <t>УП 45°300*80 плоский</t>
  </si>
  <si>
    <t>УП 45°300*100 плоский</t>
  </si>
  <si>
    <t>УП 45°300*150 плоский</t>
  </si>
  <si>
    <t>УП 45°300*200 плоский</t>
  </si>
  <si>
    <t>УП 45°400*50 плоский</t>
  </si>
  <si>
    <t>УП 45°400*80 плоский</t>
  </si>
  <si>
    <t>УП 45°400*100 плоский</t>
  </si>
  <si>
    <t>УП 45°400*150 плоский</t>
  </si>
  <si>
    <t>УП 45°400*200 плоский</t>
  </si>
  <si>
    <t>УП 45°500*50 плоский</t>
  </si>
  <si>
    <t>УП 45°500*80 плоский</t>
  </si>
  <si>
    <t>УП 45°500*100 плоский</t>
  </si>
  <si>
    <t>УП 45°500*150 плоский</t>
  </si>
  <si>
    <t>УП 45°500*200 плоский</t>
  </si>
  <si>
    <t>КУП 45° 50  крышка угла плоского</t>
  </si>
  <si>
    <t>КУП 45° 100  крышка угла плоского</t>
  </si>
  <si>
    <t>КУП 45° 150  крышка угла плоского</t>
  </si>
  <si>
    <t>КУП 45° 200  крышка угла плоского</t>
  </si>
  <si>
    <t>КУП 45° 250  крышка угла плоского</t>
  </si>
  <si>
    <t>КУП 45° 300  крышка угла плоского</t>
  </si>
  <si>
    <t>КУП 45° 400  крышка угла плоского</t>
  </si>
  <si>
    <t>КУП 45° 500  крышка угла плоского</t>
  </si>
  <si>
    <t>УН 90°50*50 угол вертикальный внешний</t>
  </si>
  <si>
    <t>УН 90°100*50 угол вертикальный внешний</t>
  </si>
  <si>
    <t>УН 90°100*80 угол вертикальный внешний</t>
  </si>
  <si>
    <t>УН 90°100*100 угол вертикальный внешний</t>
  </si>
  <si>
    <t>УН 90°150*50 угол вертикальный внешний</t>
  </si>
  <si>
    <t>УН 90°150*80 угол вертикальный внешний</t>
  </si>
  <si>
    <t>УН 90°150*100 угол вертикальный внешний</t>
  </si>
  <si>
    <t>УН 90°150*150 угол вертикальный внешний</t>
  </si>
  <si>
    <t>УН 90°200*50 угол вертикальный внешний</t>
  </si>
  <si>
    <t>УН 90°200*80 угол вертикальный внешний</t>
  </si>
  <si>
    <t>УН 90°200*100 угол вертикальный внешний</t>
  </si>
  <si>
    <t>УН 90°200*150 угол вертикальный внешний</t>
  </si>
  <si>
    <t>УН 90°200*200 угол вертикальный внешний</t>
  </si>
  <si>
    <t>УН 90°250*50 угол вертикальный внешний</t>
  </si>
  <si>
    <t>УН 90°250*80 угол вертикальный внешний</t>
  </si>
  <si>
    <t>УН 90°250*100 угол вертикальный внешний</t>
  </si>
  <si>
    <t>УН 90°250*150 угол вертикальный внешний</t>
  </si>
  <si>
    <t>УН 90°250*200 угол вертикальный внешний</t>
  </si>
  <si>
    <t>УН 90°300*50 угол вертикальный внешний</t>
  </si>
  <si>
    <t>УН 90°300*80 угол вертикальный внешний</t>
  </si>
  <si>
    <t>УН 90°300*100 угол вертикальный внешний</t>
  </si>
  <si>
    <t>УН 90°300*150 угол вертикальный внешний</t>
  </si>
  <si>
    <t>УН 90°300*200 угол вертикальный внешний</t>
  </si>
  <si>
    <t>УН 90°400*50 угол вертикальный внешний</t>
  </si>
  <si>
    <t>УН 90°400*80 угол вертикальный внешний</t>
  </si>
  <si>
    <t>УН 90°400*100 угол вертикальный внешний</t>
  </si>
  <si>
    <t>УН 90°400*150 угол вертикальный внешний</t>
  </si>
  <si>
    <t>УН 90°400*200 угол вертикальный внешний</t>
  </si>
  <si>
    <t>УН 90°500*50 угол вертикальный внешний</t>
  </si>
  <si>
    <t>УН 90°500*80 угол вертикальный внешний</t>
  </si>
  <si>
    <t>УН 90°500*100 угол вертикальный внешний</t>
  </si>
  <si>
    <t>УН 90°500*150 угол вертикальный внешний</t>
  </si>
  <si>
    <t>УН 90°500*200 угол вертикальный внешний</t>
  </si>
  <si>
    <t>УН 45°50*50 угол вертикальный внешний</t>
  </si>
  <si>
    <t>УН 45°100*50 угол вертикальный внешний</t>
  </si>
  <si>
    <t>УН 45°100*80 угол вертикальный внешний</t>
  </si>
  <si>
    <t>УН 45°100*100 угол вертикальный внешний</t>
  </si>
  <si>
    <t>УН 45°150*50 угол вертикальный внешний</t>
  </si>
  <si>
    <t>УН 45°150*80 угол вертикальный внешний</t>
  </si>
  <si>
    <t>УН 45°150*100 угол вертикальный внешний</t>
  </si>
  <si>
    <t>УН 45°150*150 угол вертикальный внешний</t>
  </si>
  <si>
    <t>УН 45°200*50 угол вертикальный внешний</t>
  </si>
  <si>
    <t>УН 45°200*80 угол вертикальный внешний</t>
  </si>
  <si>
    <t>УН 45°200*100 угол вертикальный внешний</t>
  </si>
  <si>
    <t>УН 45°200*150 угол вертикальный внешний</t>
  </si>
  <si>
    <t>УН 45°200*200 угол вертикальный внешний</t>
  </si>
  <si>
    <t>УН 45°250*50 угол вертикальный внешний</t>
  </si>
  <si>
    <t>УН 45°250*80 угол вертикальный внешний</t>
  </si>
  <si>
    <t>УН 45°250*100 угол вертикальный внешний</t>
  </si>
  <si>
    <t>УН 45°250*150 угол вертикальный внешний</t>
  </si>
  <si>
    <t>УН 45°250*200 угол вертикальный внешний</t>
  </si>
  <si>
    <t>УН 45°300*50 угол вертикальный внешний</t>
  </si>
  <si>
    <t>УН 45°300*80 угол вертикальный внешний</t>
  </si>
  <si>
    <t>УН 45°300*100 угол вертикальный внешний</t>
  </si>
  <si>
    <t>УН 45°300*150 угол вертикальный внешний</t>
  </si>
  <si>
    <t>УН 45°300*200 угол вертикальный внешний</t>
  </si>
  <si>
    <t>УН 45°400*50 угол вертикальный внешний</t>
  </si>
  <si>
    <t>УН 45°400*80 угол вертикальный внешний</t>
  </si>
  <si>
    <t>УН 45°400*100 угол вертикальный внешний</t>
  </si>
  <si>
    <t>УН 45°400*150 угол вертикальный внешний</t>
  </si>
  <si>
    <t>УН 45°400*200 угол вертикальный внешний</t>
  </si>
  <si>
    <t>УН 45°500*50 угол вертикальный внешний</t>
  </si>
  <si>
    <t>УН 45°500*80 угол вертикальный внешний</t>
  </si>
  <si>
    <t>УН 45°500*100 угол вертикальный внешний</t>
  </si>
  <si>
    <t>УН 45°500*150 угол вертикальный внешний</t>
  </si>
  <si>
    <t>УН 45°500*200 угол вертикальный внешний</t>
  </si>
  <si>
    <t>УВ 90°50*50 угол вертикальный внутренний</t>
  </si>
  <si>
    <t>УВ 90°100*50 угол вертикальный внутренний</t>
  </si>
  <si>
    <t>УВ 90°100*80 угол вертикальный внутренний</t>
  </si>
  <si>
    <t>УВ 90°100*100 угол вертикальный внутренний</t>
  </si>
  <si>
    <t>УВ 90°150*50 угол вертикальный внутренний</t>
  </si>
  <si>
    <t>УВ 90°150*80 угол вертикальный внутренний</t>
  </si>
  <si>
    <t>УВ 90°150*100 угол вертикальный внутренний</t>
  </si>
  <si>
    <t>УВ 90°150*150 угол вертикальный внутренний</t>
  </si>
  <si>
    <t>УВ 90°200*50 угол вертикальный внутренний</t>
  </si>
  <si>
    <t>УВ 90°200*80 угол вертикальный внутренний</t>
  </si>
  <si>
    <t>УВ 90°200*100 угол вертикальный внутренний</t>
  </si>
  <si>
    <t>УВ 90°200*150 угол вертикальный внутренний</t>
  </si>
  <si>
    <t>УВ 90°200*200 угол вертикальный внутренний</t>
  </si>
  <si>
    <t>УВ 90°250*50 угол вертикальный внутренний</t>
  </si>
  <si>
    <t>УВ 90°250*80 угол вертикальный внутренний</t>
  </si>
  <si>
    <t>УВ 90°250*100 угол вертикальный внутренний</t>
  </si>
  <si>
    <t>УВ 90°250*150 угол вертикальный внутренний</t>
  </si>
  <si>
    <t>УВ 90°250*200 угол вертикальный внутренний</t>
  </si>
  <si>
    <t>УВ 90°300*50 угол вертикальный внутренний</t>
  </si>
  <si>
    <t>УВ 90°300*80 угол вертикальный внутренний</t>
  </si>
  <si>
    <t>УВ 90°300*100 угол вертикальный внутренний</t>
  </si>
  <si>
    <t>УВ 90°300*150 угол вертикальный внутренний</t>
  </si>
  <si>
    <t>УВ 90°300*200 угол вертикальный внутренний</t>
  </si>
  <si>
    <t>УВ 90°400*50 угол вертикальный внутренний</t>
  </si>
  <si>
    <t>УВ 90°400*80 угол вертикальный внутренний</t>
  </si>
  <si>
    <t>УВ 90°400*100 угол вертикальный внутренний</t>
  </si>
  <si>
    <t>УВ 90°400*150 угол вертикальный внутренний</t>
  </si>
  <si>
    <t>УВ 90°400*200 угол вертикальный внутренний</t>
  </si>
  <si>
    <t>УВ 90°500*50 угол вертикальный внутренний</t>
  </si>
  <si>
    <t>УВ 90°500*80 угол вертикальный внутренний</t>
  </si>
  <si>
    <t>УВ 90°500*100 угол вертикальный внутренний</t>
  </si>
  <si>
    <t>УВ 90°500*150 угол вертикальный внутренний</t>
  </si>
  <si>
    <t>УВ 90°500*200 угол вертикальный внутренний</t>
  </si>
  <si>
    <t>КУВ 90° 50  крышка угла вертикального внутреннего</t>
  </si>
  <si>
    <t>КУВ 90° 100  крышка угла вертикального внутреннего</t>
  </si>
  <si>
    <t>КУВ 90° 150  крышка угла вертикального внутреннего</t>
  </si>
  <si>
    <t>КУВ 90° 200  крышка угла вертикального внутреннего</t>
  </si>
  <si>
    <t>КУВ 90° 250  крышка угла вертикального внутреннего</t>
  </si>
  <si>
    <t>КУВ 90° 300  крышка угла вертикального внутреннего</t>
  </si>
  <si>
    <t>КУВ 90° 400  крышка угла вертикального внутреннего</t>
  </si>
  <si>
    <t>КУВ 90° 500  крышка угла вертикального внутреннего</t>
  </si>
  <si>
    <t>УВ 45°50*50 угол вертикальный внутренний</t>
  </si>
  <si>
    <t>УВ 45°100*50 угол вертикальный внутренний</t>
  </si>
  <si>
    <t>УВ 45°100*80 угол вертикальный внутренний</t>
  </si>
  <si>
    <t>УВ 45°100*100 угол вертикальный внутренний</t>
  </si>
  <si>
    <t>УВ 45°150*50 угол вертикальный внутренний</t>
  </si>
  <si>
    <t>УВ 45°150*80 угол вертикальный внутренний</t>
  </si>
  <si>
    <t>УВ 45°150*100 угол вертикальный внутренний</t>
  </si>
  <si>
    <t>УВ 45°150*150 угол вертикальный внутренний</t>
  </si>
  <si>
    <t>УВ 45°200*50 угол вертикальный внутренний</t>
  </si>
  <si>
    <t>УВ 45°200*80 угол вертикальный внутренний</t>
  </si>
  <si>
    <t>УВ 45°200*100 угол вертикальный внутренний</t>
  </si>
  <si>
    <t>УВ 45°200*150 угол вертикальный внутренний</t>
  </si>
  <si>
    <t>УВ 45°200*200 угол вертикальный внутренний</t>
  </si>
  <si>
    <t>УВ 45°250*50 угол вертикальный внутренний</t>
  </si>
  <si>
    <t>УВ 45°250*80 угол вертикальный внутренний</t>
  </si>
  <si>
    <t>УВ 45°250*100 угол вертикальный внутренний</t>
  </si>
  <si>
    <t>УВ 45°250*150 угол вертикальный внутренний</t>
  </si>
  <si>
    <t>УВ 45°250*200 угол вертикальный внутренний</t>
  </si>
  <si>
    <t>УВ 45°300*50 угол вертикальный внутренний</t>
  </si>
  <si>
    <t>УВ 45°300*80 угол вертикальный внутренний</t>
  </si>
  <si>
    <t>УВ 45°300*100 угол вертикальный внутренний</t>
  </si>
  <si>
    <t>УВ 45°300*150 угол вертикальный внутренний</t>
  </si>
  <si>
    <t>УВ 45°300*200 угол вертикальный внутренний</t>
  </si>
  <si>
    <t>УВ 45°400*50 угол вертикальный внутренний</t>
  </si>
  <si>
    <t>УВ 45°400*80 угол вертикальный внутренний</t>
  </si>
  <si>
    <t>УВ 45°400*100 угол вертикальный внутренний</t>
  </si>
  <si>
    <t>УВ 45°400*150 угол вертикальный внутренний</t>
  </si>
  <si>
    <t>УВ 45°400*200 угол вертикальный внутренний</t>
  </si>
  <si>
    <t>УВ 45°500*50 угол вертикальный внутренний</t>
  </si>
  <si>
    <t>УВ 45°500*80 угол вертикальный внутренний</t>
  </si>
  <si>
    <t>УВ 45°500*100 угол вертикальный внутренний</t>
  </si>
  <si>
    <t>УВ 45°500*150 угол вертикальный внутренний</t>
  </si>
  <si>
    <t>УВ 45°500*200 угол вертикальный внутренний</t>
  </si>
  <si>
    <t>КУВ 45° 50  крышка угла вертикального внутреннего</t>
  </si>
  <si>
    <t>КУВ 45° 100  крышка угла вертикального внутреннего</t>
  </si>
  <si>
    <t>КУВ 45° 150  крышка угла вертикального внутреннего</t>
  </si>
  <si>
    <t>КУВ 45° 200  крышка угла вертикального внутреннего</t>
  </si>
  <si>
    <t>КУВ 45° 250  крышка угла вертикального внутреннего</t>
  </si>
  <si>
    <t>КУВ 45° 300  крышка угла вертикального внутреннего</t>
  </si>
  <si>
    <t>КУВ 45° 400  крышка угла вертикального внутреннего</t>
  </si>
  <si>
    <t>КУВ 45° 500  крышка угла вертикального внутреннего</t>
  </si>
  <si>
    <t>Т 50*50 ответвитель Т-образный</t>
  </si>
  <si>
    <t>Т 100*50 ответвитель Т-образный</t>
  </si>
  <si>
    <t>Т 100*80 ответвитель Т-образный</t>
  </si>
  <si>
    <t>Т 100*100 ответвитель Т-образный</t>
  </si>
  <si>
    <t>Т 150*50 ответвитель Т-образный</t>
  </si>
  <si>
    <t>Т 150*80 ответвитель Т-образный</t>
  </si>
  <si>
    <t>Т 150*100 ответвитель Т-образный</t>
  </si>
  <si>
    <t>Т 150*150 ответвитель Т-образный</t>
  </si>
  <si>
    <t>Т 200*50 ответвитель Т-образный</t>
  </si>
  <si>
    <t>Т 200*80 ответвитель Т-образный</t>
  </si>
  <si>
    <t>Т 200*100 ответвитель Т-образный</t>
  </si>
  <si>
    <t>Т 200*150 ответвитель Т-образный</t>
  </si>
  <si>
    <t>Т 200*200 ответвитель Т-образный</t>
  </si>
  <si>
    <t>Т 250*50 ответвитель Т-образный</t>
  </si>
  <si>
    <t>Т 250*80 ответвитель Т-образный</t>
  </si>
  <si>
    <t>Т 250*100 ответвитель Т-образный</t>
  </si>
  <si>
    <t>Т 250*150 ответвитель Т-образный</t>
  </si>
  <si>
    <t>Т 250*200 ответвитель Т-образный</t>
  </si>
  <si>
    <t>Т 300*50 ответвитель Т-образный</t>
  </si>
  <si>
    <t>Т 300*80 ответвитель Т-образный</t>
  </si>
  <si>
    <t>Т 300*100 ответвитель Т-образный</t>
  </si>
  <si>
    <t>Т 300*150 ответвитель Т-образный</t>
  </si>
  <si>
    <t>Т 300*200 ответвитель Т-образный</t>
  </si>
  <si>
    <t>Т 400*50 ответвитель Т-образный</t>
  </si>
  <si>
    <t>Т 400*80 ответвитель Т-образный</t>
  </si>
  <si>
    <t>Т 400*100 ответвитель Т-образный</t>
  </si>
  <si>
    <t>Т 400*150 ответвитель Т-образный</t>
  </si>
  <si>
    <t>Т 400*200 ответвитель Т-образный</t>
  </si>
  <si>
    <t>Т 500*50 ответвитель Т-образный</t>
  </si>
  <si>
    <t>Т 500*80 ответвитель Т-образный</t>
  </si>
  <si>
    <t>Т 500*100 ответвитель Т-образный</t>
  </si>
  <si>
    <t>Т 500*150 ответвитель Т-образный</t>
  </si>
  <si>
    <t>Т 500*200 ответвитель Т-образный</t>
  </si>
  <si>
    <t>КТ 50  крышка Т-образного ответвителя</t>
  </si>
  <si>
    <t>КТ 100  крышка Т-образного ответвителя</t>
  </si>
  <si>
    <t>КТ 150  крышка Т-образного ответвителя</t>
  </si>
  <si>
    <t>КТ 200  крышка Т-образного ответвителя</t>
  </si>
  <si>
    <t>КТ 250  крышка Т-образного ответвителя</t>
  </si>
  <si>
    <t>КТ 300  крышка Т-образного ответвителя</t>
  </si>
  <si>
    <t>КТ 400  крышка Т-образного ответвителя</t>
  </si>
  <si>
    <t>КТ 500  крышка Т-образного ответвителя</t>
  </si>
  <si>
    <t>Х 50*50 ответвитель X-образный</t>
  </si>
  <si>
    <t>Х 100*50 ответвитель X-образный</t>
  </si>
  <si>
    <t>Х 100*80 ответвитель X-образный</t>
  </si>
  <si>
    <t>Х 100*100 ответвитель X-образный</t>
  </si>
  <si>
    <t>Х 150*50 ответвитель X-образный</t>
  </si>
  <si>
    <t>Х 150*80 ответвитель X-образный</t>
  </si>
  <si>
    <t>Х 150*100 ответвитель X-образный</t>
  </si>
  <si>
    <t>Х 150*150 ответвитель X-образный</t>
  </si>
  <si>
    <t>Х 200*50 ответвитель X-образный</t>
  </si>
  <si>
    <t>Х 200*80 ответвитель X-образный</t>
  </si>
  <si>
    <t>Х 200*100 ответвитель X-образный</t>
  </si>
  <si>
    <t>Х 200*150 ответвитель X-образный</t>
  </si>
  <si>
    <t>Х 200*200 ответвитель X-образный</t>
  </si>
  <si>
    <t>Х 250*50 ответвитель X-образный</t>
  </si>
  <si>
    <t>Х 250*80 ответвитель X-образный</t>
  </si>
  <si>
    <t>Х 250*100 ответвитель X-образный</t>
  </si>
  <si>
    <t>Х 250*150 ответвитель X-образный</t>
  </si>
  <si>
    <t>Х 250*200 ответвитель X-образный</t>
  </si>
  <si>
    <t>Х 300*50 ответвитель X-образный</t>
  </si>
  <si>
    <t>Х 300*80 ответвитель X-образный</t>
  </si>
  <si>
    <t>Х 300*100 ответвитель X-образный</t>
  </si>
  <si>
    <t>Х 300*150 ответвитель X-образный</t>
  </si>
  <si>
    <t>Х 300*200 ответвитель X-образный</t>
  </si>
  <si>
    <t>Х 400*50 ответвитель X-образный</t>
  </si>
  <si>
    <t>Х 400*80 ответвитель X-образный</t>
  </si>
  <si>
    <t>Х 400*100 ответвитель X-образный</t>
  </si>
  <si>
    <t>Х 400*150 ответвитель X-образный</t>
  </si>
  <si>
    <t>Х 400*200 ответвитель X-образный</t>
  </si>
  <si>
    <t>Х 500*50 ответвитель X-образный</t>
  </si>
  <si>
    <t>Х 500*80 ответвитель X-образный</t>
  </si>
  <si>
    <t>Х 500*100 ответвитель X-образный</t>
  </si>
  <si>
    <t>Х 500*150 ответвитель X-образный</t>
  </si>
  <si>
    <t>Х 500*200 ответвитель X-образный</t>
  </si>
  <si>
    <t>КХ 50 крышка  Х-образного ответвителя</t>
  </si>
  <si>
    <t>КХ 100 крышка  Х-образного ответвителя</t>
  </si>
  <si>
    <t>КХ 150 крышка  Х-образного ответвителя</t>
  </si>
  <si>
    <t>КХ 200 крышка  Х-образного ответвителя</t>
  </si>
  <si>
    <t>КХ 250 крышка  Х-образного ответвителя</t>
  </si>
  <si>
    <t>КХ 300 крышка  Х-образного ответвителя</t>
  </si>
  <si>
    <t>КХ 400 крышка  Х-образного ответвителя</t>
  </si>
  <si>
    <t>КХ 500 крышка  Х-образного ответвителя</t>
  </si>
  <si>
    <t>ПЛ 100/50*50  переходник левый</t>
  </si>
  <si>
    <t>ПЛ 150/100*50  переходник левый</t>
  </si>
  <si>
    <t>ПЛ 200/100*50  переходник левый</t>
  </si>
  <si>
    <t>ПЛ 200/150*50  переходник левый</t>
  </si>
  <si>
    <t>ПЛ 300/100*50  переходник левый</t>
  </si>
  <si>
    <t>ПЛ 300/150*50  переходник левый</t>
  </si>
  <si>
    <t>ПЛ 300/200*50  переходник левый</t>
  </si>
  <si>
    <t>ПЛ 400/200*50  переходник левый</t>
  </si>
  <si>
    <t>ПЛ 400/300*50  переходник левый</t>
  </si>
  <si>
    <t>ПЛ 500/200*50  переходник левый</t>
  </si>
  <si>
    <t>ПЛ 500/300*50  переходник левый</t>
  </si>
  <si>
    <t>ПЛ 500/400*50  переходник левый</t>
  </si>
  <si>
    <t>ПЛ 600/400*50  переходник левый</t>
  </si>
  <si>
    <t>ПЛ 600/500*50  переходник левый</t>
  </si>
  <si>
    <t>ПЛ 150/100*80  переходник левый</t>
  </si>
  <si>
    <t>ПЛ 200/100*80  переходник левый</t>
  </si>
  <si>
    <t>ПЛ 200/150*80  переходник левый</t>
  </si>
  <si>
    <t>ПЛ 300/100*80  переходник левый</t>
  </si>
  <si>
    <t>ПЛ 300/150*80  переходник левый</t>
  </si>
  <si>
    <t>ПЛ 300/200*80  переходник левый</t>
  </si>
  <si>
    <t>ПЛ 400/200*80  переходник левый</t>
  </si>
  <si>
    <t>ПЛ 400/300*80  переходник левый</t>
  </si>
  <si>
    <t>ПЛ 500/200*80  переходник левый</t>
  </si>
  <si>
    <t>ПЛ 500/300*80  переходник левый</t>
  </si>
  <si>
    <t>ПЛ 500/400*80  переходник левый</t>
  </si>
  <si>
    <t>ПЛ 600/400*80  переходник левый</t>
  </si>
  <si>
    <t>ПЛ 600/500*80  переходник левый</t>
  </si>
  <si>
    <t>ПЛ 150/100*100  переходник левый</t>
  </si>
  <si>
    <t>ПЛ 200/100*100  переходник левый</t>
  </si>
  <si>
    <t>ПЛ 200/150*100  переходник левый</t>
  </si>
  <si>
    <t>ПЛ 300/100*100  переходник левый</t>
  </si>
  <si>
    <t>ПЛ 300/150*100  переходник левый</t>
  </si>
  <si>
    <t>ПЛ 300/200*100  переходник левый</t>
  </si>
  <si>
    <t>ПЛ 400/200*100  переходник левый</t>
  </si>
  <si>
    <t>ПЛ 400/300*100  переходник левый</t>
  </si>
  <si>
    <t>ПЛ 500/200*100  переходник левый</t>
  </si>
  <si>
    <t>ПЛ 500/300*100  переходник левый</t>
  </si>
  <si>
    <t>ПЛ 500/400*100  переходник левый</t>
  </si>
  <si>
    <t>КПЛ 100/50  крышка переходника левого</t>
  </si>
  <si>
    <t>КПЛ 150/100  крышка переходника левого</t>
  </si>
  <si>
    <t>КПЛ 200/100  крышка переходника левого</t>
  </si>
  <si>
    <t>КПЛ 200/150  крышка переходника левого</t>
  </si>
  <si>
    <t>КПЛ 300/100  крышка переходника левого</t>
  </si>
  <si>
    <t>КПЛ 300/150  крышка переходника левого</t>
  </si>
  <si>
    <t>КПЛ 300/200  крышка переходника левого</t>
  </si>
  <si>
    <t>КПЛ 400/200  крышка переходника левого</t>
  </si>
  <si>
    <t>КПЛ 400/300  крышка переходника левого</t>
  </si>
  <si>
    <t>КПЛ 500/200  крышка переходника левого</t>
  </si>
  <si>
    <t>КПЛ 500/300  крышка переходника левого</t>
  </si>
  <si>
    <t>КПЛ 500/400  крышка переходника левого</t>
  </si>
  <si>
    <t>КПЛ 600/400  крышка переходника левого</t>
  </si>
  <si>
    <t>КПЛ 600/500  крышка переходника левого</t>
  </si>
  <si>
    <t>ПП 100/50*50  переходник правый</t>
  </si>
  <si>
    <t>ПП 150/100*50  переходник правый</t>
  </si>
  <si>
    <t>ПП 200/100*50  переходник правый</t>
  </si>
  <si>
    <t>ПП 200/150*50  переходник правый</t>
  </si>
  <si>
    <t>ПП 300/100*50  переходник правый</t>
  </si>
  <si>
    <t>ПП 300/150*50  переходник правый</t>
  </si>
  <si>
    <t>ПП 300/200*50  переходник правый</t>
  </si>
  <si>
    <t>ПП 400/200*50  переходник правый</t>
  </si>
  <si>
    <t>ПП 400/300*50  переходник правый</t>
  </si>
  <si>
    <t>ПП 500/200*50  переходник правый</t>
  </si>
  <si>
    <t>ПП 500/300*50  переходник правый</t>
  </si>
  <si>
    <t>ПП 500/400*50  переходник правый</t>
  </si>
  <si>
    <t>ПП 600/400*50  переходник правый</t>
  </si>
  <si>
    <t>ПП 600/500*50  переходник правый</t>
  </si>
  <si>
    <t>ПП 150/100*80  переходник правый</t>
  </si>
  <si>
    <t>ПП 200/100*80  переходник правый</t>
  </si>
  <si>
    <t>ПП 200/150*80  переходник правый</t>
  </si>
  <si>
    <t>ПП 300/100*80  переходник правый</t>
  </si>
  <si>
    <t>ПП 300/150*80  переходник правый</t>
  </si>
  <si>
    <t>ПП 300/200*80  переходник правый</t>
  </si>
  <si>
    <t>ПП 400/200*80  переходник правый</t>
  </si>
  <si>
    <t>ПП 400/300*80  переходник правый</t>
  </si>
  <si>
    <t>ПП 500/200*80  переходник правый</t>
  </si>
  <si>
    <t>ПП 500/300*80  переходник правый</t>
  </si>
  <si>
    <t>ПП 500/400*80  переходник правый</t>
  </si>
  <si>
    <t>ПП 600/400*80  переходник правый</t>
  </si>
  <si>
    <t>ПП 600/500*80  переходник правый</t>
  </si>
  <si>
    <t>ПП 150/100*100  переходник правый</t>
  </si>
  <si>
    <t>ПП 200/100*100  переходник правый</t>
  </si>
  <si>
    <t>ПП 200/150*100  переходник правый</t>
  </si>
  <si>
    <t>ПП 300/100*100  переходник правый</t>
  </si>
  <si>
    <t>ПП 300/150*100  переходник правый</t>
  </si>
  <si>
    <t>ПП 300/200*100  переходник правый</t>
  </si>
  <si>
    <t>ПП 400/200*100  переходник правый</t>
  </si>
  <si>
    <t>ПП 400/300*100  переходник правый</t>
  </si>
  <si>
    <t>ПП 500/200*100  переходник правый</t>
  </si>
  <si>
    <t>ПП 500/300*100  переходник правый</t>
  </si>
  <si>
    <t>ПП 500/400*100  переходник правый</t>
  </si>
  <si>
    <t>КПП 100/50  крышка переходника правого</t>
  </si>
  <si>
    <t>КПП 150/100  крышка переходника правого</t>
  </si>
  <si>
    <t>КПП 200/100  крышка переходника правого</t>
  </si>
  <si>
    <t>КПП 200/150  крышка переходника правого</t>
  </si>
  <si>
    <t>КПП 300/100  крышка переходника правого</t>
  </si>
  <si>
    <t>КПП 300/150  крышка переходника правого</t>
  </si>
  <si>
    <t>КПП 300/200  крышка переходника правого</t>
  </si>
  <si>
    <t>КПП 400/200  крышка переходника правого</t>
  </si>
  <si>
    <t>КПП 400/300  крышка переходника правого</t>
  </si>
  <si>
    <t>КПП 500/200  крышка переходника правого</t>
  </si>
  <si>
    <t>КПП 500/300  крышка переходника правого</t>
  </si>
  <si>
    <t>КПП 500/400  крышка переходника правого</t>
  </si>
  <si>
    <t>КПП 600/400  крышка переходника правого</t>
  </si>
  <si>
    <t>КПП 600/500  крышка переходника правого</t>
  </si>
  <si>
    <t>ПС 100/50*50  переходник симметричный</t>
  </si>
  <si>
    <t>ПС 150/100*50  переходник симметричный</t>
  </si>
  <si>
    <t>ПС 200/100*50  переходник симметричный</t>
  </si>
  <si>
    <t>ПС 200/150*50  переходник симметричный</t>
  </si>
  <si>
    <t>ПС 300/100*50  переходник симметричный</t>
  </si>
  <si>
    <t>ПС 300/150*50  переходник симметричный</t>
  </si>
  <si>
    <t>ПС 300/200*50  переходник симметричный</t>
  </si>
  <si>
    <t>ПС 400/200*50  переходник симметричный</t>
  </si>
  <si>
    <t>ПС 400/300*50  переходник симметричный</t>
  </si>
  <si>
    <t>ПС 500/200*50  переходник симметричный</t>
  </si>
  <si>
    <t>ПС 500/300*50  переходник симметричный</t>
  </si>
  <si>
    <t>ПС 500/400*50  переходник симметричный</t>
  </si>
  <si>
    <t>ПС 600/400*50  переходник симметричный</t>
  </si>
  <si>
    <t>ПС 600/500*50  переходник симметричный</t>
  </si>
  <si>
    <t>ПС 150/100*80  переходник симметричный</t>
  </si>
  <si>
    <t>ПС 200/100*80  переходник симметричный</t>
  </si>
  <si>
    <t>ПС 200/150*80  переходник симметричный</t>
  </si>
  <si>
    <t>ПС 300/100*80  переходник симметричный</t>
  </si>
  <si>
    <t>ПС 300/150*80  переходник симметричный</t>
  </si>
  <si>
    <t>ПС 300/200*80  переходник симметричный</t>
  </si>
  <si>
    <t>ПС 400/200*80  переходник симметричный</t>
  </si>
  <si>
    <t>ПС 400/300*80  переходник симметричный</t>
  </si>
  <si>
    <t>ПС 500/200*80  переходник симметричный</t>
  </si>
  <si>
    <t>ПС 500/300*80  переходник симметричный</t>
  </si>
  <si>
    <t>ПС 500/400*80  переходник симметричный</t>
  </si>
  <si>
    <t>ПС 600/400*80  переходник симметричный</t>
  </si>
  <si>
    <t>ПС 600/500*80  переходник симметричный</t>
  </si>
  <si>
    <t>ПС 150/100*100  переходник симметричный</t>
  </si>
  <si>
    <t>ПС 200/100*100  переходник симметричный</t>
  </si>
  <si>
    <t>ПС 200/150*100  переходник симметричный</t>
  </si>
  <si>
    <t>ПС 300/100*100  переходник симметричный</t>
  </si>
  <si>
    <t>ПС 300/150*100  переходник симметричный</t>
  </si>
  <si>
    <t>ПС 300/200*100  переходник симметричный</t>
  </si>
  <si>
    <t>ПС 400/200*100  переходник симметричный</t>
  </si>
  <si>
    <t>ПС 400/300*100  переходник симметричный</t>
  </si>
  <si>
    <t>ПС 500/200*100  переходник симметричный</t>
  </si>
  <si>
    <t>ПС 500/300*100  переходник симметричный</t>
  </si>
  <si>
    <t>ПС 500/400*100  переходник симметричный</t>
  </si>
  <si>
    <t>КПС 100/50  крышка переходника симметричного</t>
  </si>
  <si>
    <t>КПС 150/100  крышка переходника симметричного</t>
  </si>
  <si>
    <t>КПС 200/100  крышка переходника симметричного</t>
  </si>
  <si>
    <t>КПС 200/150  крышка переходника симметричного</t>
  </si>
  <si>
    <t>КПС 300/100  крышка переходника симметричного</t>
  </si>
  <si>
    <t>КПС 300/150  крышка переходника симметричного</t>
  </si>
  <si>
    <t>КПС 300/200  крышка переходника симметричного</t>
  </si>
  <si>
    <t>КПС 400/200  крышка переходника симметричного</t>
  </si>
  <si>
    <t>КПС 400/300  крышка переходника симметричного</t>
  </si>
  <si>
    <t>КПС 500/200  крышка переходника симметричного</t>
  </si>
  <si>
    <t>КПС 500/300  крышка переходника симметричного</t>
  </si>
  <si>
    <t>КПС 500/400  крышка переходника симметричного</t>
  </si>
  <si>
    <t>КПС 600/400  крышка переходника симметричного</t>
  </si>
  <si>
    <t>КПС 600/500  крышка переходника симметричного</t>
  </si>
  <si>
    <t>РЛ 50  разделитель лотка</t>
  </si>
  <si>
    <t>РЛ 80  разделитель лотка</t>
  </si>
  <si>
    <t>РЛ 100  разделитель лотка</t>
  </si>
  <si>
    <t>ЗТ50*50 заглушка торцевая</t>
  </si>
  <si>
    <t>ЗТ100*50 заглушка торцевая</t>
  </si>
  <si>
    <t>ЗТ100*80 заглушка торцевая</t>
  </si>
  <si>
    <t>ЗТ100*100 заглушка торцевая</t>
  </si>
  <si>
    <t>ЗТ150*50 заглушка торцевая</t>
  </si>
  <si>
    <t>ЗТ150*80 заглушка торцевая</t>
  </si>
  <si>
    <t>ЗТ150*100 заглушка торцевая</t>
  </si>
  <si>
    <t>ЗТ150*150 заглушка торцевая</t>
  </si>
  <si>
    <t>ЗТ200*50 заглушка торцевая</t>
  </si>
  <si>
    <t>ЗТ200*80 заглушка торцевая</t>
  </si>
  <si>
    <t>ЗТ200*100 заглушка торцевая</t>
  </si>
  <si>
    <t>ЗТ200*150 заглушка торцевая</t>
  </si>
  <si>
    <t>ЗТ200*200 заглушка торцевая</t>
  </si>
  <si>
    <t>ЗТ250*50 заглушка торцевая</t>
  </si>
  <si>
    <t>ЗТ250*80 заглушка торцевая</t>
  </si>
  <si>
    <t>ЗТ250*100 заглушка торцевая</t>
  </si>
  <si>
    <t>ЗТ250*150 заглушка торцевая</t>
  </si>
  <si>
    <t>ЗТ250*200 заглушка торцевая</t>
  </si>
  <si>
    <t>ЗТ300*50 заглушка торцевая</t>
  </si>
  <si>
    <t>ЗТ300*80 заглушка торцевая</t>
  </si>
  <si>
    <t>ЗТ300*100 заглушка торцевая</t>
  </si>
  <si>
    <t>ЗТ300*150 заглушка торцевая</t>
  </si>
  <si>
    <t>ЗТ300*200 заглушка торцевая</t>
  </si>
  <si>
    <t>ЗТ400*50 заглушка торцевая</t>
  </si>
  <si>
    <t>ЗТ400*80 заглушка торцевая</t>
  </si>
  <si>
    <t>ЗТ400*100 заглушка торцевая</t>
  </si>
  <si>
    <t>ЗТ400*150 заглушка торцевая</t>
  </si>
  <si>
    <t>ЗТ400*200 заглушка торцевая</t>
  </si>
  <si>
    <t>ЗТ500*50 заглушка торцевая</t>
  </si>
  <si>
    <t>ЗТ500*80 заглушка торцевая</t>
  </si>
  <si>
    <t>ЗТ500*100 заглушка торцевая</t>
  </si>
  <si>
    <t>ЗТ500*150 заглушка торцевая</t>
  </si>
  <si>
    <t>ЗТ500*200 заглушка торцевая</t>
  </si>
  <si>
    <t>УП 90°50*60 плоский</t>
  </si>
  <si>
    <t>УП 90°100*60 плоский</t>
  </si>
  <si>
    <t>УП 90°100*65 плоский</t>
  </si>
  <si>
    <t>Крышка угла плоского 90°</t>
  </si>
  <si>
    <t>Угол плоский (горизонтальный) 45°</t>
  </si>
  <si>
    <t>УП 45°50*35 плоский</t>
  </si>
  <si>
    <t>УП 45°50*60 плоский</t>
  </si>
  <si>
    <t>УП 45°60*40 плоский</t>
  </si>
  <si>
    <t>УП 45°100*60 плоский</t>
  </si>
  <si>
    <t>УП 45°100*65 плоский</t>
  </si>
  <si>
    <t>УН 90°50*35 угол вертикальный внешний</t>
  </si>
  <si>
    <t>УН 90°50*60 угол вертикальный внешний</t>
  </si>
  <si>
    <t>УН 90°60*40 угол вертикальный внешний</t>
  </si>
  <si>
    <t>УН 90°100*60 угол вертикальный внешний</t>
  </si>
  <si>
    <t>УН 90°100*65 угол вертикальный внешний</t>
  </si>
  <si>
    <t>УП 90°200*60 плоский</t>
  </si>
  <si>
    <t>УП 90°200*65 плоский</t>
  </si>
  <si>
    <t>УП 90°300*60 плоский</t>
  </si>
  <si>
    <t>УП 90°300*65 плоский</t>
  </si>
  <si>
    <t>УП 90°400*60 плоский</t>
  </si>
  <si>
    <t>УП 90°400*65 плоский</t>
  </si>
  <si>
    <t>УП 90°500*60 плоский</t>
  </si>
  <si>
    <t>УП 90°500*65 плоский</t>
  </si>
  <si>
    <t>УП 45°200*60 плоский</t>
  </si>
  <si>
    <t>УП 45°200*65 плоский</t>
  </si>
  <si>
    <t>УП 45°300*60 плоский</t>
  </si>
  <si>
    <t>УП 45°300*65 плоский</t>
  </si>
  <si>
    <t>УП 45°400*60 плоский</t>
  </si>
  <si>
    <t>УП 45°400*65 плоский</t>
  </si>
  <si>
    <t>УП 45°500*60 плоский</t>
  </si>
  <si>
    <t>УП 45°500*65 плоский</t>
  </si>
  <si>
    <t>УН 90°200*60 угол вертикальный внешний</t>
  </si>
  <si>
    <t>УН 90°200*65 угол вертикальный внешний</t>
  </si>
  <si>
    <t>УН 90°300*60 угол вертикальный внешний</t>
  </si>
  <si>
    <t>УН 90°300*65 угол вертикальный внешний</t>
  </si>
  <si>
    <t>УН 90°400*60 угол вертикальный внешний</t>
  </si>
  <si>
    <t>УН 90°400*65 угол вертикальный внешний</t>
  </si>
  <si>
    <t>УН 90°500*60 угол вертикальный внешний</t>
  </si>
  <si>
    <t>УН 90°500*65 угол вертикальный внешний</t>
  </si>
  <si>
    <t>УН 45°50*35 угол вертикальный внешний</t>
  </si>
  <si>
    <t>УН 45°100*60 угол вертикальный внешний</t>
  </si>
  <si>
    <t>УН 45°100*65 угол вертикальный внешний</t>
  </si>
  <si>
    <t>УН 45°200*60 угол вертикальный внешний</t>
  </si>
  <si>
    <t>УН 45°200*65 угол вертикальный внешний</t>
  </si>
  <si>
    <t>УН 45°300*60 угол вертикальный внешний</t>
  </si>
  <si>
    <t>УН 45°300*65 угол вертикальный внешний</t>
  </si>
  <si>
    <t>УН 45°400*60 угол вертикальный внешний</t>
  </si>
  <si>
    <t>УН 45°400*65 угол вертикальный внешний</t>
  </si>
  <si>
    <t>УН 45°500*60 угол вертикальный внешний</t>
  </si>
  <si>
    <t>УН 45°500*65 угол вертикальный внешний</t>
  </si>
  <si>
    <t>УВ 90°50*35 угол вертикальный внутренний</t>
  </si>
  <si>
    <t>УВ 90°100*60 угол вертикальный внутренний</t>
  </si>
  <si>
    <t>УВ 90°100*65 угол вертикальный внутренний</t>
  </si>
  <si>
    <t>УВ 90°50*60 угол вертикальный внутренний</t>
  </si>
  <si>
    <t>УВ 90°60*40 угол вертикальный внутренний</t>
  </si>
  <si>
    <t>УВ 90°200*60 угол вертикальный внутренний</t>
  </si>
  <si>
    <t>УВ 90°200*65 угол вертикальный внутренний</t>
  </si>
  <si>
    <t>УВ 90°300*60 угол вертикальный внутренний</t>
  </si>
  <si>
    <t>УВ 90°300*65 угол вертикальный внутренний</t>
  </si>
  <si>
    <t>УВ 90°400*60 угол вертикальный внутренний</t>
  </si>
  <si>
    <t>УВ 90°400*65 угол вертикальный внутренний</t>
  </si>
  <si>
    <t>УВ 90°500*60 угол вертикальный внутренний</t>
  </si>
  <si>
    <t>УВ 90°500*65 угол вертикальный внутренний</t>
  </si>
  <si>
    <t>УВ 45°50*35 угол вертикальный внутренний</t>
  </si>
  <si>
    <t>УВ 45°100*60 угол вертикальный внутренний</t>
  </si>
  <si>
    <t>УВ 45°100*65 угол вертикальный внутренний</t>
  </si>
  <si>
    <t>УВ 45°50*60 угол вертикальный внутренний</t>
  </si>
  <si>
    <t>УВ 45°60*40 угол вертикальный внутренний</t>
  </si>
  <si>
    <t>УВ 45°200*60 угол вертикальный внутренний</t>
  </si>
  <si>
    <t>УВ 45°200*65 угол вертикальный внутренний</t>
  </si>
  <si>
    <t>УВ 45°300*60 угол вертикальный внутренний</t>
  </si>
  <si>
    <t>УВ 45°300*65 угол вертикальный внутренний</t>
  </si>
  <si>
    <t>УВ 45°400*60 угол вертикальный внутренний</t>
  </si>
  <si>
    <t>УВ 45°400*65 угол вертикальный внутренний</t>
  </si>
  <si>
    <t>УВ 45°500*60 угол вертикальный внутренний</t>
  </si>
  <si>
    <t>УВ 45°500*65 угол вертикальный внутренний</t>
  </si>
  <si>
    <t>КУВ 45° 60  крышка угла вертикального внутреннего</t>
  </si>
  <si>
    <t>Т 50*35 ответвитель Т-образный</t>
  </si>
  <si>
    <t>Т 50*60 ответвитель Т-образный</t>
  </si>
  <si>
    <t>Т 60*40 ответвитель Т-образный</t>
  </si>
  <si>
    <t>Т 100*60 ответвитель Т-образный</t>
  </si>
  <si>
    <t>Т 100*65 ответвитель Т-образный</t>
  </si>
  <si>
    <t>Т 200*60 ответвитель Т-образный</t>
  </si>
  <si>
    <t>Т 200*65 ответвитель Т-образный</t>
  </si>
  <si>
    <t>Т 300*60 ответвитель Т-образный</t>
  </si>
  <si>
    <t>Т 300*65 ответвитель Т-образный</t>
  </si>
  <si>
    <t>Т 400*60 ответвитель Т-образный</t>
  </si>
  <si>
    <t>Т 400*65 ответвитель Т-образный</t>
  </si>
  <si>
    <t>Т 500*60 ответвитель Т-образный</t>
  </si>
  <si>
    <t>Т 500*65 ответвитель Т-образный</t>
  </si>
  <si>
    <t>КТ 60  крышка Т-образного ответвителя</t>
  </si>
  <si>
    <t>Х 50*35 ответвитель X-образный</t>
  </si>
  <si>
    <t>Х 50*60 ответвитель X-образный</t>
  </si>
  <si>
    <t>Х 60*40 ответвитель X-образный</t>
  </si>
  <si>
    <t>Х 100*60 ответвитель X-образный</t>
  </si>
  <si>
    <t>Х 100*65 ответвитель X-образный</t>
  </si>
  <si>
    <t>Х 200*60 ответвитель X-образный</t>
  </si>
  <si>
    <t>Х 200*65 ответвитель X-образный</t>
  </si>
  <si>
    <t>Х 300*60 ответвитель X-образный</t>
  </si>
  <si>
    <t>Х 300*65 ответвитель X-образный</t>
  </si>
  <si>
    <t>Х 400*60 ответвитель X-образный</t>
  </si>
  <si>
    <t>Х 400*65 ответвитель X-образный</t>
  </si>
  <si>
    <t>Х 500*60 ответвитель X-образный</t>
  </si>
  <si>
    <t>Х 500*65 ответвитель X-образный</t>
  </si>
  <si>
    <t>КХ 60 крышка  Х-образного ответвителя</t>
  </si>
  <si>
    <t xml:space="preserve">Переходник левый  </t>
  </si>
  <si>
    <t xml:space="preserve">Крышка Х-образного ответвителя </t>
  </si>
  <si>
    <t xml:space="preserve">Крышка переходника левого </t>
  </si>
  <si>
    <t xml:space="preserve">Переходник правый  </t>
  </si>
  <si>
    <t xml:space="preserve">Крышка переходника правого  </t>
  </si>
  <si>
    <t xml:space="preserve">Переходник симметричный  </t>
  </si>
  <si>
    <t xml:space="preserve">Крышка переходника симметричного  </t>
  </si>
  <si>
    <t xml:space="preserve">Разделитель лотка  </t>
  </si>
  <si>
    <t>Угол плоский (горизонтальный) 90°</t>
  </si>
  <si>
    <t xml:space="preserve">Крышка угла вертикального внешнего 90° </t>
  </si>
  <si>
    <t xml:space="preserve">Угол вертикальный внешний 45° </t>
  </si>
  <si>
    <t xml:space="preserve">Крышка угла вертикального внешнего 45° </t>
  </si>
  <si>
    <t xml:space="preserve">Угол вертикальный внутренний 90° </t>
  </si>
  <si>
    <t xml:space="preserve">Крышка угла вертикального внутреннего 90° </t>
  </si>
  <si>
    <t xml:space="preserve">Угол вертикальный внутренний 45° </t>
  </si>
  <si>
    <t xml:space="preserve">Крышка угла вертикального внутреннего 45° </t>
  </si>
  <si>
    <t xml:space="preserve">Крышка Т-образного ответвителя </t>
  </si>
  <si>
    <t>РЛ 60  разделитель лотка</t>
  </si>
  <si>
    <t>РЛ 65  разделитель лотка</t>
  </si>
  <si>
    <t>РЛ 150  разделитель лотка</t>
  </si>
  <si>
    <t>РЛ 200  разделитель лотка</t>
  </si>
  <si>
    <t>ЗТ50*35 заглушка торцевая</t>
  </si>
  <si>
    <t>ЗТ100*60 заглушка торцевая</t>
  </si>
  <si>
    <t>ЗТ100*65 заглушка торцевая</t>
  </si>
  <si>
    <t>ЗТ50*60 заглушка торцевая</t>
  </si>
  <si>
    <t>ЗТ60*40 заглушка торцевая</t>
  </si>
  <si>
    <t>ЗТ200*60 заглушка торцевая</t>
  </si>
  <si>
    <t>ЗТ200*65 заглушка торцевая</t>
  </si>
  <si>
    <t>ЗТ300*60 заглушка торцевая</t>
  </si>
  <si>
    <t>ЗТ300*65 заглушка торцевая</t>
  </si>
  <si>
    <t>ЗТ400*60 заглушка торцевая</t>
  </si>
  <si>
    <t>ЗТ400*65 заглушка торцевая</t>
  </si>
  <si>
    <t>ЗТ500*60 заглушка торцевая</t>
  </si>
  <si>
    <t>ЗТ500*65 заглушка торцевая</t>
  </si>
  <si>
    <t>РЛ 35  разделитель лотка</t>
  </si>
  <si>
    <t>КУП 90° 60  крышка угла плоского</t>
  </si>
  <si>
    <t>КУП 45° 60  крышка угла плоского</t>
  </si>
  <si>
    <t>УН 45°50*60 угол вертикальный внешний</t>
  </si>
  <si>
    <t>УН 45°60*40 угол вертикальный внешний</t>
  </si>
  <si>
    <t>КУВ 90° 60  крышка угла вертикального внутреннего</t>
  </si>
  <si>
    <t>Угол вертикальный внешний 90°</t>
  </si>
  <si>
    <t xml:space="preserve">Заглушка торцевая  </t>
  </si>
  <si>
    <t>Шайба М8 с увел. полями</t>
  </si>
  <si>
    <t>Шайба М10 с увел. полями</t>
  </si>
  <si>
    <t>Шайба М6 с увел. полями</t>
  </si>
  <si>
    <t>Аксессуары  проволочного лотка</t>
  </si>
  <si>
    <t>КУН 45° 50  крышка угла плоского</t>
  </si>
  <si>
    <t>КУН 45° 60  крышка угла плоского</t>
  </si>
  <si>
    <t>КУН 45° 100  крышка угла плоского</t>
  </si>
  <si>
    <t>КУН 45° 150  крышка угла плоского</t>
  </si>
  <si>
    <t>КУН 45° 200  крышка угла плоского</t>
  </si>
  <si>
    <t>КУН 45° 250  крышка угла плоского</t>
  </si>
  <si>
    <t>КУН 45° 300  крышка угла плоского</t>
  </si>
  <si>
    <t>КУН 45° 400  крышка угла плоского</t>
  </si>
  <si>
    <t>КУН 45° 500  крышка угла плоского</t>
  </si>
  <si>
    <t>КУН 90° 50  крышка угла плоского</t>
  </si>
  <si>
    <t>КУН 90° 60  крышка угла плоского</t>
  </si>
  <si>
    <t>КУН 90° 100  крышка угла плоского</t>
  </si>
  <si>
    <t>КУН 90° 150  крышка угла плоского</t>
  </si>
  <si>
    <t>КУН 90° 200  крышка угла плоского</t>
  </si>
  <si>
    <t>КУН 90° 250  крышка угла плоского</t>
  </si>
  <si>
    <t>КУН 90° 300  крышка угла плоского</t>
  </si>
  <si>
    <t>КУН 90° 400  крышка угла плоского</t>
  </si>
  <si>
    <t>КУН 90° 500  крышка угла плоского</t>
  </si>
  <si>
    <t>1. Лоток перфорированный</t>
  </si>
  <si>
    <t>оглавление&gt;&gt;</t>
  </si>
  <si>
    <t xml:space="preserve">Крышка угла плоского 45° </t>
  </si>
  <si>
    <t>Ширина борта</t>
  </si>
  <si>
    <t>Высота борта</t>
  </si>
  <si>
    <t>Лоток глухой</t>
  </si>
  <si>
    <t>Ширина</t>
  </si>
  <si>
    <t>Стойка 2,5мм</t>
  </si>
  <si>
    <t>Полки 1,5мм</t>
  </si>
  <si>
    <t>Цена на металл, цинк</t>
  </si>
  <si>
    <t>Цена на металл,Нержавеющий металл</t>
  </si>
  <si>
    <t>Стойка К314</t>
  </si>
  <si>
    <t>ПП  стойки потолочные 2мм</t>
  </si>
  <si>
    <t xml:space="preserve">ПП 200 стойка кабельная потолочная </t>
  </si>
  <si>
    <t xml:space="preserve">ПП 400 стойка кабельная потолочная </t>
  </si>
  <si>
    <t xml:space="preserve">ПП 600 стойка кабельная потолочная </t>
  </si>
  <si>
    <t xml:space="preserve">ПП 800 стойка кабельная потолочная </t>
  </si>
  <si>
    <t xml:space="preserve">ПП 1000 стойка кабельная потолочная </t>
  </si>
  <si>
    <t xml:space="preserve">ПП 1200 стойка кабельная потолочная </t>
  </si>
  <si>
    <t xml:space="preserve">ПП 2000 стойка кабельная потолочная </t>
  </si>
  <si>
    <t xml:space="preserve">ПП 500 стойка кабельная потолочная </t>
  </si>
  <si>
    <t>ПП  стойки потолочные 2,5мм</t>
  </si>
  <si>
    <t>цинк</t>
  </si>
  <si>
    <t>К 347ц (32х16) Профиль монтажный</t>
  </si>
  <si>
    <t>Ширина
А, мм.</t>
  </si>
  <si>
    <t>Высота
Н, мм.</t>
  </si>
  <si>
    <t>Толщина
S, мм.</t>
  </si>
  <si>
    <t>Ед. изм.</t>
  </si>
  <si>
    <t>Профиль монтажный С-образный (Strut)</t>
  </si>
  <si>
    <t>MS 412115 S14</t>
  </si>
  <si>
    <t>п.м.</t>
  </si>
  <si>
    <t>●</t>
  </si>
  <si>
    <t>MS 412120 S14</t>
  </si>
  <si>
    <t>MS 412125 S14Z</t>
  </si>
  <si>
    <t>MS 414115 S14</t>
  </si>
  <si>
    <t>MS 414120 S14</t>
  </si>
  <si>
    <t>MS 414125 S14Z</t>
  </si>
  <si>
    <t>MS 412115</t>
  </si>
  <si>
    <t>MS 412120</t>
  </si>
  <si>
    <t>MS 412125Z</t>
  </si>
  <si>
    <t>MS 414115</t>
  </si>
  <si>
    <t>MS 414120</t>
  </si>
  <si>
    <t>MS 414125Z</t>
  </si>
  <si>
    <t>Профиль монтажный сварной (Strut)</t>
  </si>
  <si>
    <t>MS 418225 Z С2</t>
  </si>
  <si>
    <t>MS 414125 Z С2</t>
  </si>
  <si>
    <t>MS 418225 S14Z С2</t>
  </si>
  <si>
    <t>MS 414125 S14Z С2</t>
  </si>
  <si>
    <t>Кронштейн консольный MS В</t>
  </si>
  <si>
    <t>MS 100В</t>
  </si>
  <si>
    <t>шт.</t>
  </si>
  <si>
    <t>MS 150B</t>
  </si>
  <si>
    <t>MS 200B</t>
  </si>
  <si>
    <t>MS 250B</t>
  </si>
  <si>
    <t>MS 300B</t>
  </si>
  <si>
    <t>MS 350B</t>
  </si>
  <si>
    <t>MS 400B</t>
  </si>
  <si>
    <t>MS 450B</t>
  </si>
  <si>
    <t>MS 500B</t>
  </si>
  <si>
    <t>MS 600B</t>
  </si>
  <si>
    <t>MS 700B</t>
  </si>
  <si>
    <t>MS 750B</t>
  </si>
  <si>
    <t>MS 800B</t>
  </si>
  <si>
    <t>MS 900B</t>
  </si>
  <si>
    <t xml:space="preserve">MS 100F </t>
  </si>
  <si>
    <t>MS 150F</t>
  </si>
  <si>
    <t>MS 200F</t>
  </si>
  <si>
    <t>MS 250F</t>
  </si>
  <si>
    <t xml:space="preserve">MS 300F </t>
  </si>
  <si>
    <t xml:space="preserve">MS 350F </t>
  </si>
  <si>
    <t xml:space="preserve">MS 400F </t>
  </si>
  <si>
    <t xml:space="preserve">MS 450F </t>
  </si>
  <si>
    <t>MS 500F</t>
  </si>
  <si>
    <t xml:space="preserve">MS 600F </t>
  </si>
  <si>
    <t xml:space="preserve">MS 700F </t>
  </si>
  <si>
    <t xml:space="preserve">MS 750F </t>
  </si>
  <si>
    <t xml:space="preserve">MS 800F </t>
  </si>
  <si>
    <t xml:space="preserve">MS 900F </t>
  </si>
  <si>
    <t xml:space="preserve">MS 950F </t>
  </si>
  <si>
    <t xml:space="preserve">MS 100А </t>
  </si>
  <si>
    <t>MS 150А</t>
  </si>
  <si>
    <t xml:space="preserve">MS 200А </t>
  </si>
  <si>
    <t xml:space="preserve">MS 250А </t>
  </si>
  <si>
    <t xml:space="preserve">MS 300А </t>
  </si>
  <si>
    <t xml:space="preserve">MS 350А </t>
  </si>
  <si>
    <t xml:space="preserve">MS 400А </t>
  </si>
  <si>
    <t xml:space="preserve">MS 450А </t>
  </si>
  <si>
    <t xml:space="preserve">MS 500А </t>
  </si>
  <si>
    <t xml:space="preserve">MS 600А </t>
  </si>
  <si>
    <t xml:space="preserve">MS 700А </t>
  </si>
  <si>
    <t xml:space="preserve">MS 750А </t>
  </si>
  <si>
    <t xml:space="preserve">MS 800А </t>
  </si>
  <si>
    <t xml:space="preserve">MS 900А </t>
  </si>
  <si>
    <t xml:space="preserve">Кронштейн консольный MS Е </t>
  </si>
  <si>
    <t xml:space="preserve">MS 100Е </t>
  </si>
  <si>
    <t>MS 150Е</t>
  </si>
  <si>
    <t>MS 200Е</t>
  </si>
  <si>
    <t>MS 250Е</t>
  </si>
  <si>
    <t xml:space="preserve">MS 300Е </t>
  </si>
  <si>
    <t xml:space="preserve">MS 350Е </t>
  </si>
  <si>
    <t xml:space="preserve">MS 400Е </t>
  </si>
  <si>
    <t xml:space="preserve">MS 450Е </t>
  </si>
  <si>
    <t>MS 500Е</t>
  </si>
  <si>
    <t xml:space="preserve">MS 600Е </t>
  </si>
  <si>
    <t xml:space="preserve">MS 700Е </t>
  </si>
  <si>
    <t xml:space="preserve">MS 750Е </t>
  </si>
  <si>
    <t xml:space="preserve">MS 800Е </t>
  </si>
  <si>
    <t xml:space="preserve">MS 900Е </t>
  </si>
  <si>
    <t xml:space="preserve">MS 950Е </t>
  </si>
  <si>
    <t>Кронштейн консольный MS C</t>
  </si>
  <si>
    <t>MS 100C</t>
  </si>
  <si>
    <t>MS 150C</t>
  </si>
  <si>
    <t>MS 200C</t>
  </si>
  <si>
    <t>MS 300C</t>
  </si>
  <si>
    <t>MS 400C</t>
  </si>
  <si>
    <t xml:space="preserve">MS 50P </t>
  </si>
  <si>
    <t xml:space="preserve">MS 75P </t>
  </si>
  <si>
    <t xml:space="preserve">MS 100P </t>
  </si>
  <si>
    <t>MS 150P</t>
  </si>
  <si>
    <t xml:space="preserve">MS 225P </t>
  </si>
  <si>
    <t xml:space="preserve">MS 300P </t>
  </si>
  <si>
    <t xml:space="preserve">MS 400P </t>
  </si>
  <si>
    <t>Кронштейн настенный MS N</t>
  </si>
  <si>
    <t>MS 50N</t>
  </si>
  <si>
    <t>MS 75N</t>
  </si>
  <si>
    <t>MS 100N</t>
  </si>
  <si>
    <t>MS 150N</t>
  </si>
  <si>
    <t xml:space="preserve">MS 225N </t>
  </si>
  <si>
    <t>Кронштейн стеновой/настенный КСН</t>
  </si>
  <si>
    <t>КСН-100</t>
  </si>
  <si>
    <t>КСН-150</t>
  </si>
  <si>
    <t>КСН-200</t>
  </si>
  <si>
    <t>КСН-225</t>
  </si>
  <si>
    <t>КСН-300</t>
  </si>
  <si>
    <t>КСН-400</t>
  </si>
  <si>
    <t>КСН-500</t>
  </si>
  <si>
    <t>КСН-600</t>
  </si>
  <si>
    <t xml:space="preserve">Потолочная скоба PS </t>
  </si>
  <si>
    <t>PS 8</t>
  </si>
  <si>
    <t>PS 5</t>
  </si>
  <si>
    <t>PS 3</t>
  </si>
  <si>
    <t>PS 2</t>
  </si>
  <si>
    <t>Укосина для консольны US</t>
  </si>
  <si>
    <t>US-200</t>
  </si>
  <si>
    <t>US-300</t>
  </si>
  <si>
    <t>US-400</t>
  </si>
  <si>
    <t>US-500</t>
  </si>
  <si>
    <t xml:space="preserve">Крепление перегородки MPF </t>
  </si>
  <si>
    <t>MPF 300</t>
  </si>
  <si>
    <t>MPF 400</t>
  </si>
  <si>
    <t>MPF 500</t>
  </si>
  <si>
    <t>MPF 600</t>
  </si>
  <si>
    <t>Кронштейн консольный MS F</t>
  </si>
  <si>
    <t>Кронштейн консольный MS А</t>
  </si>
  <si>
    <t>Кронштейн потолочный  MS P</t>
  </si>
  <si>
    <t>Длина 
L, мм.</t>
  </si>
  <si>
    <t xml:space="preserve">Стойка потолочная  MSP 4121 </t>
  </si>
  <si>
    <t xml:space="preserve">MSP 4121 </t>
  </si>
  <si>
    <t>41х21х2,5</t>
  </si>
  <si>
    <t>Стойка потолочная  MSP 2х4121</t>
  </si>
  <si>
    <t xml:space="preserve">MSP 2х4121 </t>
  </si>
  <si>
    <t>2х41х21х2,5</t>
  </si>
  <si>
    <t>Стойка потолочная  MSP 4141</t>
  </si>
  <si>
    <t xml:space="preserve">MSP 4141 </t>
  </si>
  <si>
    <t>41х41х2,5</t>
  </si>
  <si>
    <t>Стойка потолочная  MSP 2х4141</t>
  </si>
  <si>
    <t xml:space="preserve">MSP 2х4141 </t>
  </si>
  <si>
    <t>2х41х41х2,5</t>
  </si>
  <si>
    <t>Стойка потолочная  MSP 6040</t>
  </si>
  <si>
    <t xml:space="preserve">MSP 6040 </t>
  </si>
  <si>
    <t>60х40х2,5</t>
  </si>
  <si>
    <t>Стойка потолочная  MSP 8040</t>
  </si>
  <si>
    <t xml:space="preserve">MSP 8040 </t>
  </si>
  <si>
    <t>80х40х2,5</t>
  </si>
  <si>
    <t>Стойка напольная  MSN 4141 Standart</t>
  </si>
  <si>
    <t xml:space="preserve">MSN 4141 </t>
  </si>
  <si>
    <t>Стойка напольная  MSN 4141</t>
  </si>
  <si>
    <t>Стойка напольная  MSN 2х4141</t>
  </si>
  <si>
    <t xml:space="preserve">MSN 2х4141 </t>
  </si>
  <si>
    <t>Стойка настенная  MSS 412125</t>
  </si>
  <si>
    <t xml:space="preserve">MSS 412125 </t>
  </si>
  <si>
    <t>Стойка настенная  MSS 412115</t>
  </si>
  <si>
    <t xml:space="preserve">MSS 412115 </t>
  </si>
  <si>
    <t>41х21х1,5</t>
  </si>
  <si>
    <t>Стойка настенная  MSS 414125</t>
  </si>
  <si>
    <t xml:space="preserve">MSS 414125 </t>
  </si>
  <si>
    <t>Стойка настенная  MSS 414115</t>
  </si>
  <si>
    <t xml:space="preserve">MSS 414115 </t>
  </si>
  <si>
    <t>41х41х1,5</t>
  </si>
  <si>
    <t xml:space="preserve">Гайка канальная MPN </t>
  </si>
  <si>
    <t xml:space="preserve">MPN 6                     </t>
  </si>
  <si>
    <t>М 6</t>
  </si>
  <si>
    <t xml:space="preserve">MPN 8                      </t>
  </si>
  <si>
    <t>М 8</t>
  </si>
  <si>
    <t>MPN 10</t>
  </si>
  <si>
    <t>М 10</t>
  </si>
  <si>
    <t xml:space="preserve">MPN 12 </t>
  </si>
  <si>
    <t>М 12</t>
  </si>
  <si>
    <t>Гайка канальная с короткой пружиной MSN</t>
  </si>
  <si>
    <t xml:space="preserve">MSN 6                     </t>
  </si>
  <si>
    <t xml:space="preserve">MSN 8                      </t>
  </si>
  <si>
    <t>MSN 10</t>
  </si>
  <si>
    <t xml:space="preserve">MSN 12 </t>
  </si>
  <si>
    <t>Гайка канальная с длинной пружиной MLN</t>
  </si>
  <si>
    <t xml:space="preserve">MLN 6                     </t>
  </si>
  <si>
    <t xml:space="preserve">MLN 8                      </t>
  </si>
  <si>
    <t>MLN 10</t>
  </si>
  <si>
    <t xml:space="preserve">MLN 12 </t>
  </si>
  <si>
    <t xml:space="preserve">Плита с одиночный креплением </t>
  </si>
  <si>
    <t xml:space="preserve">МВР 304 </t>
  </si>
  <si>
    <t xml:space="preserve">Плита с двойным креплением </t>
  </si>
  <si>
    <t xml:space="preserve">МВР 305 </t>
  </si>
  <si>
    <t xml:space="preserve">Двухканальная плита </t>
  </si>
  <si>
    <t xml:space="preserve">МВР 306 </t>
  </si>
  <si>
    <t xml:space="preserve">Одноканальная дельтообразная плита </t>
  </si>
  <si>
    <t xml:space="preserve">МВР 307 </t>
  </si>
  <si>
    <t xml:space="preserve">МВР 308 </t>
  </si>
  <si>
    <t xml:space="preserve">Плита одноканальная </t>
  </si>
  <si>
    <t xml:space="preserve">МВР 309                        </t>
  </si>
  <si>
    <t xml:space="preserve">Плита двухканальная </t>
  </si>
  <si>
    <t xml:space="preserve">МВР 310                        </t>
  </si>
  <si>
    <t>МВР 311</t>
  </si>
  <si>
    <t>МВР 312</t>
  </si>
  <si>
    <t>Опора соединительная горизонтальная</t>
  </si>
  <si>
    <t xml:space="preserve">OS 21 H                   </t>
  </si>
  <si>
    <t xml:space="preserve">Опора соединительная вертикальная </t>
  </si>
  <si>
    <t xml:space="preserve">OS 21 V                  </t>
  </si>
  <si>
    <t xml:space="preserve">Опора соединительная горизонтальная </t>
  </si>
  <si>
    <t xml:space="preserve">OS 41 H                   </t>
  </si>
  <si>
    <t xml:space="preserve">OS 41 V                  </t>
  </si>
  <si>
    <t xml:space="preserve">OS 82 V                  </t>
  </si>
  <si>
    <t>Опора поворотная ОР</t>
  </si>
  <si>
    <t>ОР</t>
  </si>
  <si>
    <t>Пластина поворотная РР</t>
  </si>
  <si>
    <t>РР</t>
  </si>
  <si>
    <t>Уголок монтажный UM</t>
  </si>
  <si>
    <t xml:space="preserve">UM </t>
  </si>
  <si>
    <t>Уголок монтажный поворотный UMР</t>
  </si>
  <si>
    <t xml:space="preserve">UMР </t>
  </si>
  <si>
    <t>Уголок монтажный опорный UMО</t>
  </si>
  <si>
    <t xml:space="preserve">UMО </t>
  </si>
  <si>
    <t>Cкоба монтажная поворотная SMР</t>
  </si>
  <si>
    <t>SMР</t>
  </si>
  <si>
    <t>Болт+гайка с фланцем М6</t>
  </si>
  <si>
    <t xml:space="preserve"> </t>
  </si>
  <si>
    <t>Траверса монтажная 30*20(3м)</t>
  </si>
  <si>
    <t>Траверса монтажная 38*40(3м)</t>
  </si>
  <si>
    <t>Развертки на лотки</t>
  </si>
  <si>
    <t xml:space="preserve"> 50*35 </t>
  </si>
  <si>
    <t xml:space="preserve"> 50*50 </t>
  </si>
  <si>
    <t xml:space="preserve"> 50*60 </t>
  </si>
  <si>
    <t xml:space="preserve"> 60*40 </t>
  </si>
  <si>
    <t xml:space="preserve"> 100*50 </t>
  </si>
  <si>
    <t xml:space="preserve"> 100*35 </t>
  </si>
  <si>
    <t xml:space="preserve"> 100*60 </t>
  </si>
  <si>
    <t xml:space="preserve"> 100*65 </t>
  </si>
  <si>
    <t xml:space="preserve"> 100*80 </t>
  </si>
  <si>
    <t xml:space="preserve"> 100*100 </t>
  </si>
  <si>
    <t xml:space="preserve"> 150*35 </t>
  </si>
  <si>
    <t xml:space="preserve"> 150*50 </t>
  </si>
  <si>
    <t xml:space="preserve"> 150*80 </t>
  </si>
  <si>
    <t xml:space="preserve"> 150*100 </t>
  </si>
  <si>
    <t xml:space="preserve"> 150*150 </t>
  </si>
  <si>
    <t xml:space="preserve"> 200*35 </t>
  </si>
  <si>
    <t xml:space="preserve"> 200*50 </t>
  </si>
  <si>
    <t xml:space="preserve"> 200*60 </t>
  </si>
  <si>
    <t xml:space="preserve"> 200*65 </t>
  </si>
  <si>
    <t xml:space="preserve"> 200*80 </t>
  </si>
  <si>
    <t xml:space="preserve"> 200*100 </t>
  </si>
  <si>
    <t xml:space="preserve"> 200*150 </t>
  </si>
  <si>
    <t xml:space="preserve"> 200*200 </t>
  </si>
  <si>
    <t xml:space="preserve"> 250*50 </t>
  </si>
  <si>
    <t xml:space="preserve"> 250*80 </t>
  </si>
  <si>
    <t xml:space="preserve"> 250*100 </t>
  </si>
  <si>
    <t xml:space="preserve"> 300*50 </t>
  </si>
  <si>
    <t xml:space="preserve"> 300*60 </t>
  </si>
  <si>
    <t xml:space="preserve"> 300*65 </t>
  </si>
  <si>
    <t xml:space="preserve"> 300*80 </t>
  </si>
  <si>
    <t xml:space="preserve"> 300*100 </t>
  </si>
  <si>
    <t xml:space="preserve"> 300*150 </t>
  </si>
  <si>
    <t xml:space="preserve"> 300*200 </t>
  </si>
  <si>
    <t xml:space="preserve"> 400*50 </t>
  </si>
  <si>
    <t xml:space="preserve"> 400*60 </t>
  </si>
  <si>
    <t xml:space="preserve"> 400*65 </t>
  </si>
  <si>
    <t xml:space="preserve"> 400*80 </t>
  </si>
  <si>
    <t xml:space="preserve"> 400*100 </t>
  </si>
  <si>
    <t xml:space="preserve"> 400*150 </t>
  </si>
  <si>
    <t xml:space="preserve"> 400*200 </t>
  </si>
  <si>
    <t xml:space="preserve"> 500*50 </t>
  </si>
  <si>
    <t xml:space="preserve"> 500*60 </t>
  </si>
  <si>
    <t xml:space="preserve"> 500*65 </t>
  </si>
  <si>
    <t xml:space="preserve"> 500*80 </t>
  </si>
  <si>
    <t xml:space="preserve"> 500*100 </t>
  </si>
  <si>
    <t xml:space="preserve"> 500*150 </t>
  </si>
  <si>
    <t xml:space="preserve"> 500*200 </t>
  </si>
  <si>
    <t xml:space="preserve"> 600*50 </t>
  </si>
  <si>
    <t xml:space="preserve"> 600*80 </t>
  </si>
  <si>
    <t xml:space="preserve"> 600*100 </t>
  </si>
  <si>
    <t xml:space="preserve"> 600*150 </t>
  </si>
  <si>
    <t xml:space="preserve"> 600*200 </t>
  </si>
  <si>
    <t>Размер</t>
  </si>
  <si>
    <t>цинкование</t>
  </si>
  <si>
    <t>Развертки крышка</t>
  </si>
  <si>
    <t>Профиля</t>
  </si>
  <si>
    <t>Стойка С</t>
  </si>
  <si>
    <t>развертка</t>
  </si>
  <si>
    <t>вес</t>
  </si>
  <si>
    <t>Развертка</t>
  </si>
  <si>
    <t>Перекупная продукция</t>
  </si>
  <si>
    <t>Рязань</t>
  </si>
  <si>
    <t>Лидер</t>
  </si>
  <si>
    <t>Металлист</t>
  </si>
  <si>
    <t>НК</t>
  </si>
  <si>
    <t>гор цинк</t>
  </si>
  <si>
    <t>нерж</t>
  </si>
  <si>
    <t>Крепеж</t>
  </si>
  <si>
    <t>LP 50*35 лоток перфорированный</t>
  </si>
  <si>
    <t>LP 50*50 лоток перфорированный</t>
  </si>
  <si>
    <t>LP 50*60 лоток перфорированный</t>
  </si>
  <si>
    <t>LP 60*40 лоток перфорированный</t>
  </si>
  <si>
    <t>LP 100*50 лоток перфорированный</t>
  </si>
  <si>
    <t>LP 100*35 лоток перфорированный</t>
  </si>
  <si>
    <t>LP 100*60 лоток перфорированный</t>
  </si>
  <si>
    <t>LP 100*65 лоток перфорированный</t>
  </si>
  <si>
    <t>LP 100*80 лоток перфорированный</t>
  </si>
  <si>
    <t>LP 100*100 лоток перфорированный</t>
  </si>
  <si>
    <t>LP 150*35 лоток перфорированный</t>
  </si>
  <si>
    <t>LP 150*50 лоток перфорированный</t>
  </si>
  <si>
    <t>LP 150*80 лоток перфорированный</t>
  </si>
  <si>
    <t>LP 150*100 лоток перфорированный</t>
  </si>
  <si>
    <t>LP 150*150 лоток перфорированный</t>
  </si>
  <si>
    <t>LP 200*35 лоток перфорированный</t>
  </si>
  <si>
    <t>LP 200*50 лоток перфорированный</t>
  </si>
  <si>
    <t>LP 200*60 лоток перфорированный</t>
  </si>
  <si>
    <t>LP 200*65 лоток перфорированный</t>
  </si>
  <si>
    <t>LP 200*80 лоток перфорированный</t>
  </si>
  <si>
    <t>LP 200*100 лоток перфорированный</t>
  </si>
  <si>
    <t>LP 200*150 лоток перфорированный</t>
  </si>
  <si>
    <t>LP 200*200 лоток перфорированный</t>
  </si>
  <si>
    <t>LP 250*50 лоток перфорированный</t>
  </si>
  <si>
    <t>LP 250*80 лоток перфорированный</t>
  </si>
  <si>
    <t>LP 250*100 лоток перфорированный</t>
  </si>
  <si>
    <t>LP 300*50 лоток перфорированный</t>
  </si>
  <si>
    <t>LP 300*60 лоток перфорированный</t>
  </si>
  <si>
    <t>LP 300*65 лоток перфорированный</t>
  </si>
  <si>
    <t>LP 300*80 лоток перфорированный</t>
  </si>
  <si>
    <t>LP 300*100 лоток перфорированный</t>
  </si>
  <si>
    <t>LP 300*150 лоток перфорированный</t>
  </si>
  <si>
    <t>LP 300*200 лоток перфорированный</t>
  </si>
  <si>
    <t>LP 400*50 лоток перфорированный</t>
  </si>
  <si>
    <t>LP 400*60 лоток перфорированный</t>
  </si>
  <si>
    <t>LP 400*65 лоток перфорированный</t>
  </si>
  <si>
    <t>LP 400*80 лоток перфорированный</t>
  </si>
  <si>
    <t>LP 400*100 лоток перфорированный</t>
  </si>
  <si>
    <t>LP 400*150 лоток перфорированный</t>
  </si>
  <si>
    <t>LP 400*200 лоток перфорированный</t>
  </si>
  <si>
    <t>LP 500*50 лоток перфорированный</t>
  </si>
  <si>
    <t>LP 500*60 лоток перфорированный</t>
  </si>
  <si>
    <t>LP 500*65 лоток перфорированный</t>
  </si>
  <si>
    <t>LP 500*80 лоток перфорированный</t>
  </si>
  <si>
    <t>LP 500*100 лоток перфорированный</t>
  </si>
  <si>
    <t>LP 500*150 лоток перфорированный</t>
  </si>
  <si>
    <t>LP 500*200 лоток перфорированный</t>
  </si>
  <si>
    <t>LP 600*50 лоток перфорированный</t>
  </si>
  <si>
    <t>LP 600*80 лоток перфорированный</t>
  </si>
  <si>
    <t>LP 600*100 лоток перфорированный</t>
  </si>
  <si>
    <t>LP 600*150 лоток перфорированный</t>
  </si>
  <si>
    <t>LP 600*200 лоток перфорированный</t>
  </si>
  <si>
    <t>LG 50*50 лоток глухой</t>
  </si>
  <si>
    <t>LG 50*60 лоток глухой</t>
  </si>
  <si>
    <t>LG 60*40 лоток глухой</t>
  </si>
  <si>
    <t>LG 100*50 лоток глухой</t>
  </si>
  <si>
    <t>LG 100*35 лоток глухой</t>
  </si>
  <si>
    <t>LG 100*60 лоток глухой</t>
  </si>
  <si>
    <t>LG 100*65 лоток глухой</t>
  </si>
  <si>
    <t>LG 100*80 лоток глухой</t>
  </si>
  <si>
    <t>LG 100*100 лоток глухой</t>
  </si>
  <si>
    <t>LG 150*35 лоток глухой</t>
  </si>
  <si>
    <t>LG 150*50 лоток глухой</t>
  </si>
  <si>
    <t>LG 150*80 лоток глухой</t>
  </si>
  <si>
    <t>LG 150*100 лоток глухой</t>
  </si>
  <si>
    <t>LG 150*150 лоток глухой</t>
  </si>
  <si>
    <t>LG 200*35 лоток глухой</t>
  </si>
  <si>
    <t>LG 200*50 лоток глухой</t>
  </si>
  <si>
    <t>LG 200*60 лоток глухой</t>
  </si>
  <si>
    <t>LG 200*65 лоток глухой</t>
  </si>
  <si>
    <t>LG 200*80 лоток глухой</t>
  </si>
  <si>
    <t>LG 200*100 лоток глухой</t>
  </si>
  <si>
    <t>LG 200*150 лоток глухой</t>
  </si>
  <si>
    <t>LG 200*200 лоток глухой</t>
  </si>
  <si>
    <t>LG 250*50 лоток глухой</t>
  </si>
  <si>
    <t>LG 250*80 лоток глухой</t>
  </si>
  <si>
    <t>LG 250*100 лоток глухой</t>
  </si>
  <si>
    <t>LG 300*50 лоток глухой</t>
  </si>
  <si>
    <t>LG 300*60 лоток глухой</t>
  </si>
  <si>
    <t>LG 300*65 лоток глухой</t>
  </si>
  <si>
    <t>LG 300*80 лоток глухой</t>
  </si>
  <si>
    <t>LG 300*100 лоток глухой</t>
  </si>
  <si>
    <t>LG 300*150 лоток глухой</t>
  </si>
  <si>
    <t>LG 300*200 лоток глухой</t>
  </si>
  <si>
    <t>LG 400*50 лоток глухой</t>
  </si>
  <si>
    <t>LG 400*60 лоток глухой</t>
  </si>
  <si>
    <t>LG 400*65 лоток глухой</t>
  </si>
  <si>
    <t>LG 400*80 лоток глухой</t>
  </si>
  <si>
    <t>LG 400*100 лоток глухой</t>
  </si>
  <si>
    <t>LG 400*150 лоток глухой</t>
  </si>
  <si>
    <t>LG 400*200 лоток глухой</t>
  </si>
  <si>
    <t>LG 500*50 лоток глухой</t>
  </si>
  <si>
    <t>LG 500*60 лоток глухой</t>
  </si>
  <si>
    <t>LG 500*65 лоток глухой</t>
  </si>
  <si>
    <t>LG 500*80 лоток глухой</t>
  </si>
  <si>
    <t>LG 500*100 лоток глухой</t>
  </si>
  <si>
    <t>LG 500*150 лоток глухой</t>
  </si>
  <si>
    <t>LG 500*200 лоток глухой</t>
  </si>
  <si>
    <t>LG 600*50 лоток глухой</t>
  </si>
  <si>
    <t>LG 600*80 лоток глухой</t>
  </si>
  <si>
    <t>LG 600*100 лоток глухой</t>
  </si>
  <si>
    <t>LG 600*150 лоток глухой</t>
  </si>
  <si>
    <t>LG 600*200 лоток глухой</t>
  </si>
  <si>
    <t>LG 50*35 лоток глухой</t>
  </si>
  <si>
    <t>KL50 крышка лотка</t>
  </si>
  <si>
    <t>KL60 крышка лотка</t>
  </si>
  <si>
    <t>KL80 крышка лотка</t>
  </si>
  <si>
    <t>KL100 крышка лотка</t>
  </si>
  <si>
    <t>KL150 крышка лотка</t>
  </si>
  <si>
    <t>KL200 крышка лотка</t>
  </si>
  <si>
    <t>KL250 крышка лотка</t>
  </si>
  <si>
    <t>KL300 крышка лотка</t>
  </si>
  <si>
    <t>KL400 крышка лотка</t>
  </si>
  <si>
    <t>KL500 крышка лотка</t>
  </si>
  <si>
    <t>KL600 крышка лотка</t>
  </si>
  <si>
    <t xml:space="preserve">К 1150ц  УТ 2.5  400мм стойка каб. </t>
  </si>
  <si>
    <t xml:space="preserve">К 1151ц  УТ2.5  600мм стойка каб.  </t>
  </si>
  <si>
    <t xml:space="preserve">К 1152ц  УТ 2.5  800мм стойка каб.  </t>
  </si>
  <si>
    <t xml:space="preserve">К 1153ц  УТ 2.5 1200мм стойка каб.  </t>
  </si>
  <si>
    <t xml:space="preserve">К 1154ц  УТ 2.5  1800мм стойка каб.  </t>
  </si>
  <si>
    <t xml:space="preserve">К 1155ц  УТ 2.5  2200мм стойка каб.  </t>
  </si>
  <si>
    <t xml:space="preserve">К 1153ц  УТ 2.5 1200мм стойка каб. </t>
  </si>
  <si>
    <t xml:space="preserve">К 1160ц УТ 2.5  175мм полка каб.  </t>
  </si>
  <si>
    <t xml:space="preserve">К 1161ц УТ 2.5  265мм полка каб.  </t>
  </si>
  <si>
    <t xml:space="preserve">К 1162ц УТ 2.5  355мм полка каб.  </t>
  </si>
  <si>
    <t xml:space="preserve">К 1163ц УТ 2.5  455мм полка каб.  </t>
  </si>
  <si>
    <t xml:space="preserve">К 1164ц УТ 2.5  630мм полка каб. </t>
  </si>
  <si>
    <t xml:space="preserve">К 1164ц УТ 2.5  630мм полка каб.  </t>
  </si>
  <si>
    <t xml:space="preserve">К 1157 ц скоба </t>
  </si>
  <si>
    <t>Толщина мм, Zn</t>
  </si>
  <si>
    <t>HDZ</t>
  </si>
  <si>
    <t>Zn</t>
  </si>
  <si>
    <t>AISI</t>
  </si>
  <si>
    <t>Толщина, Zn</t>
  </si>
  <si>
    <t>Толщина, HDZ</t>
  </si>
  <si>
    <t>Толщина, AISI</t>
  </si>
  <si>
    <t>L-образный профиль 2,0мм</t>
  </si>
  <si>
    <t>Толщина,    HDZ</t>
  </si>
  <si>
    <t>Толщина,  AISI</t>
  </si>
  <si>
    <t>Толщина,Zn</t>
  </si>
  <si>
    <t>Размеры  мм.</t>
  </si>
  <si>
    <t>работа</t>
  </si>
  <si>
    <t>НПТ</t>
  </si>
  <si>
    <t>толщина</t>
  </si>
  <si>
    <t>UG 90°50*35 плоский</t>
  </si>
  <si>
    <t>UG 90°50*50 плоский</t>
  </si>
  <si>
    <t>UG 90°50*60 плоский</t>
  </si>
  <si>
    <t>UG 90°60*40 плоский</t>
  </si>
  <si>
    <t>UG 90°100*50 плоский</t>
  </si>
  <si>
    <t>UG 90°100*60 плоский</t>
  </si>
  <si>
    <t>UG 90°100*65 плоский</t>
  </si>
  <si>
    <t>UG 90°100*80 плоский</t>
  </si>
  <si>
    <t>UG 90°100*100 плоский</t>
  </si>
  <si>
    <t>UG 90°150*50 плоский</t>
  </si>
  <si>
    <t>UG 90°150*80 плоский</t>
  </si>
  <si>
    <t>UG 90°150*100 плоский</t>
  </si>
  <si>
    <t>UG 90°150*150 плоский</t>
  </si>
  <si>
    <t>UG 90°200*50 плоский</t>
  </si>
  <si>
    <t>UG 90°200*60 плоский</t>
  </si>
  <si>
    <t>UG 90°200*65 плоский</t>
  </si>
  <si>
    <t>UG 90°200*80 плоский</t>
  </si>
  <si>
    <t>UG 90°200*100 плоский</t>
  </si>
  <si>
    <t>UG 90°200*150 плоский</t>
  </si>
  <si>
    <t>UG 90°200*200 плоский</t>
  </si>
  <si>
    <t>UG 90°250*50 плоский</t>
  </si>
  <si>
    <t>UG 90°250*80 плоский</t>
  </si>
  <si>
    <t>UG 90°250*100 плоский</t>
  </si>
  <si>
    <t>UG 90°250*150 плоский</t>
  </si>
  <si>
    <t>UG 90°250*200 плоский</t>
  </si>
  <si>
    <t>UG 90°300*50 плоский</t>
  </si>
  <si>
    <t>UG 90°300*60 плоский</t>
  </si>
  <si>
    <t>UG 90°300*65 плоский</t>
  </si>
  <si>
    <t>UG 90°300*80 плоский</t>
  </si>
  <si>
    <t>UG 90°300*100 плоский</t>
  </si>
  <si>
    <t>UG 90°300*150 плоский</t>
  </si>
  <si>
    <t>UG 90°300*200 плоский</t>
  </si>
  <si>
    <t>UG 90°400*50 плоский</t>
  </si>
  <si>
    <t>UG 90°400*60 плоский</t>
  </si>
  <si>
    <t>UG 90°400*65 плоский</t>
  </si>
  <si>
    <t>UG 90°400*80 плоский</t>
  </si>
  <si>
    <t>UG 90°400*100 плоский</t>
  </si>
  <si>
    <t>UG 90°400*150 плоский</t>
  </si>
  <si>
    <t>UG 90°400*200 плоский</t>
  </si>
  <si>
    <t>UG 90°500*50 плоский</t>
  </si>
  <si>
    <t>UG 90°500*60 плоский</t>
  </si>
  <si>
    <t>UG 90°500*65 плоский</t>
  </si>
  <si>
    <t>UG 90°500*80 плоский</t>
  </si>
  <si>
    <t>UG 90°500*100 плоский</t>
  </si>
  <si>
    <t>UG 90°500*150 плоский</t>
  </si>
  <si>
    <t>UG 90°500*200 плоский</t>
  </si>
  <si>
    <t>КUG 90° 50  крышка угла плоского</t>
  </si>
  <si>
    <t>КUG 90° 60  крышка угла плоского</t>
  </si>
  <si>
    <t>КUG 90° 100  крышка угла плоского</t>
  </si>
  <si>
    <t>КUG 90° 150  крышка угла плоского</t>
  </si>
  <si>
    <t>КUG 90° 200  крышка угла плоского</t>
  </si>
  <si>
    <t>КUG 90° 250  крышка угла плоского</t>
  </si>
  <si>
    <t>КUG 90° 300  крышка угла плоского</t>
  </si>
  <si>
    <t>КUG 90° 400  крышка угла плоского</t>
  </si>
  <si>
    <t>КUG 90° 500  крышка угла плоского</t>
  </si>
  <si>
    <t>UG 45°50*35 плоский</t>
  </si>
  <si>
    <t>UG 45°50*50 плоский</t>
  </si>
  <si>
    <t>UG 45°50*60 плоский</t>
  </si>
  <si>
    <t>UG 45°60*40 плоский</t>
  </si>
  <si>
    <t>UG 45°100*50 плоский</t>
  </si>
  <si>
    <t>UG 45°100*60 плоский</t>
  </si>
  <si>
    <t>UG 45°100*65 плоский</t>
  </si>
  <si>
    <t>UG 45°100*80 плоский</t>
  </si>
  <si>
    <t>UG 45°100*100 плоский</t>
  </si>
  <si>
    <t>UG 45°150*50 плоский</t>
  </si>
  <si>
    <t>UG 45°150*80 плоский</t>
  </si>
  <si>
    <t>UG 45°150*100 плоский</t>
  </si>
  <si>
    <t>UG 45°150*150 плоский</t>
  </si>
  <si>
    <t>UG 45°200*50 плоский</t>
  </si>
  <si>
    <t>UG 45°200*60 плоский</t>
  </si>
  <si>
    <t>UG 45°200*65 плоский</t>
  </si>
  <si>
    <t>UG 45°200*80 плоский</t>
  </si>
  <si>
    <t>UG 45°200*100 плоский</t>
  </si>
  <si>
    <t>UG 45°200*150 плоский</t>
  </si>
  <si>
    <t>UG 45°200*200 плоский</t>
  </si>
  <si>
    <t>UG 45°250*50 плоский</t>
  </si>
  <si>
    <t>UG 45°250*80 плоский</t>
  </si>
  <si>
    <t>UG 45°250*100 плоский</t>
  </si>
  <si>
    <t>UG 45°250*150 плоский</t>
  </si>
  <si>
    <t>UG 45°250*200 плоский</t>
  </si>
  <si>
    <t>UG 45°300*50 плоский</t>
  </si>
  <si>
    <t>UG 45°300*60 плоский</t>
  </si>
  <si>
    <t>UG 45°300*65 плоский</t>
  </si>
  <si>
    <t>UG 45°300*80 плоский</t>
  </si>
  <si>
    <t>UG 45°300*100 плоский</t>
  </si>
  <si>
    <t>UG 45°300*150 плоский</t>
  </si>
  <si>
    <t>UG 45°300*200 плоский</t>
  </si>
  <si>
    <t>UG 45°400*50 плоский</t>
  </si>
  <si>
    <t>UG 45°400*60 плоский</t>
  </si>
  <si>
    <t>UG 45°400*65 плоский</t>
  </si>
  <si>
    <t>UG 45°400*80 плоский</t>
  </si>
  <si>
    <t>UG 45°400*100 плоский</t>
  </si>
  <si>
    <t>UG 45°400*150 плоский</t>
  </si>
  <si>
    <t>UG 45°400*200 плоский</t>
  </si>
  <si>
    <t>UG 45°500*50 плоский</t>
  </si>
  <si>
    <t>UG 45°500*60 плоский</t>
  </si>
  <si>
    <t>UG 45°500*65 плоский</t>
  </si>
  <si>
    <t>UG 45°500*80 плоский</t>
  </si>
  <si>
    <t>UG 45°500*100 плоский</t>
  </si>
  <si>
    <t>UG 45°500*150 плоский</t>
  </si>
  <si>
    <t>UG 45°500*200 плоский</t>
  </si>
  <si>
    <t>КUG 45° 50  крышка угла плоского</t>
  </si>
  <si>
    <t>КUG 45° 60  крышка угла плоского</t>
  </si>
  <si>
    <t>КUG 45° 100  крышка угла плоского</t>
  </si>
  <si>
    <t>КUG 45° 150  крышка угла плоского</t>
  </si>
  <si>
    <t>КUG 45° 200  крышка угла плоского</t>
  </si>
  <si>
    <t>КUG 45° 250  крышка угла плоского</t>
  </si>
  <si>
    <t>КUG 45° 300  крышка угла плоского</t>
  </si>
  <si>
    <t>КUG 45° 400  крышка угла плоского</t>
  </si>
  <si>
    <t>КUG 45° 500  крышка угла плоского</t>
  </si>
  <si>
    <t>UG Угол плоский (горизонтальный) 90°</t>
  </si>
  <si>
    <t>UTNR 90°50*35 угол вертикальный внешний</t>
  </si>
  <si>
    <t>UTNR 90°50*50 угол вертикальный внешний</t>
  </si>
  <si>
    <t>UTNR 90°50*60 угол вертикальный внешний</t>
  </si>
  <si>
    <t>UTNR 90°60*40 угол вертикальный внешний</t>
  </si>
  <si>
    <t>UTNR 90°100*50 угол вертикальный внешний</t>
  </si>
  <si>
    <t>UTNR 90°100*60 угол вертикальный внешний</t>
  </si>
  <si>
    <t>UTNR 90°100*65 угол вертикальный внешний</t>
  </si>
  <si>
    <t>UTNR 90°100*80 угол вертикальный внешний</t>
  </si>
  <si>
    <t>UTNR 90°100*100 угол вертикальный внешний</t>
  </si>
  <si>
    <t>UTNR 90°150*50 угол вертикальный внешний</t>
  </si>
  <si>
    <t>UTNR 90°150*80 угол вертикальный внешний</t>
  </si>
  <si>
    <t>UTNR 90°150*100 угол вертикальный внешний</t>
  </si>
  <si>
    <t>UTNR 90°150*150 угол вертикальный внешний</t>
  </si>
  <si>
    <t>UTNR 90°200*50 угол вертикальный внешний</t>
  </si>
  <si>
    <t>UTNR 90°200*60 угол вертикальный внешний</t>
  </si>
  <si>
    <t>UTNR 90°200*65 угол вертикальный внешний</t>
  </si>
  <si>
    <t>UTNR 90°200*80 угол вертикальный внешний</t>
  </si>
  <si>
    <t>UTNR 90°200*100 угол вертикальный внешний</t>
  </si>
  <si>
    <t>UTNR 90°200*150 угол вертикальный внешний</t>
  </si>
  <si>
    <t>UTNR 90°200*200 угол вертикальный внешний</t>
  </si>
  <si>
    <t>UTNR 90°250*50 угол вертикальный внешний</t>
  </si>
  <si>
    <t>UTNR 90°250*80 угол вертикальный внешний</t>
  </si>
  <si>
    <t>UTNR 90°250*100 угол вертикальный внешний</t>
  </si>
  <si>
    <t>UTNR 90°250*150 угол вертикальный внешний</t>
  </si>
  <si>
    <t>UTNR 90°250*200 угол вертикальный внешний</t>
  </si>
  <si>
    <t>UTNR 90°300*50 угол вертикальный внешний</t>
  </si>
  <si>
    <t>UTNR 90°300*60 угол вертикальный внешний</t>
  </si>
  <si>
    <t>UTNR 90°300*65 угол вертикальный внешний</t>
  </si>
  <si>
    <t>UTNR 90°300*80 угол вертикальный внешний</t>
  </si>
  <si>
    <t>UTNR 90°300*100 угол вертикальный внешний</t>
  </si>
  <si>
    <t>UTNR 90°300*150 угол вертикальный внешний</t>
  </si>
  <si>
    <t>UTNR 90°300*200 угол вертикальный внешний</t>
  </si>
  <si>
    <t>UTNR 90°400*50 угол вертикальный внешний</t>
  </si>
  <si>
    <t>UTNR 90°400*60 угол вертикальный внешний</t>
  </si>
  <si>
    <t>UTNR 90°400*65 угол вертикальный внешний</t>
  </si>
  <si>
    <t>UTNR 90°400*80 угол вертикальный внешний</t>
  </si>
  <si>
    <t>UTNR 90°400*100 угол вертикальный внешний</t>
  </si>
  <si>
    <t>UTNR 90°400*150 угол вертикальный внешний</t>
  </si>
  <si>
    <t>UTNR 90°400*200 угол вертикальный внешний</t>
  </si>
  <si>
    <t>UTNR 90°500*50 угол вертикальный внешний</t>
  </si>
  <si>
    <t>UTNR 90°500*60 угол вертикальный внешний</t>
  </si>
  <si>
    <t>UTNR 90°500*65 угол вертикальный внешний</t>
  </si>
  <si>
    <t>UTNR 90°500*80 угол вертикальный внешний</t>
  </si>
  <si>
    <t>UTNR 90°500*100 угол вертикальный внешний</t>
  </si>
  <si>
    <t>UTNR 90°500*150 угол вертикальный внешний</t>
  </si>
  <si>
    <t>UTNR 90°500*200 угол вертикальный внешний</t>
  </si>
  <si>
    <t>КUTNR 90° 50  крышка угла плоского</t>
  </si>
  <si>
    <t>КUTNR 90° 60  крышка угла плоского</t>
  </si>
  <si>
    <t>КUTNR 90° 100  крышка угла плоского</t>
  </si>
  <si>
    <t>КUTNR 90° 150  крышка угла плоского</t>
  </si>
  <si>
    <t>КUTNR 90° 200  крышка угла плоского</t>
  </si>
  <si>
    <t>КUTNR 90° 250  крышка угла плоского</t>
  </si>
  <si>
    <t>КUTNR 90° 300  крышка угла плоского</t>
  </si>
  <si>
    <t>КUTNR 90° 400  крышка угла плоского</t>
  </si>
  <si>
    <t>КUTNR 90° 500  крышка угла плоского</t>
  </si>
  <si>
    <t>UTNR 45°50*35 угол вертикальный внешний</t>
  </si>
  <si>
    <t>UTNR 45°50*50 угол вертикальный внешний</t>
  </si>
  <si>
    <t>UTNR 45°50*60 угол вертикальный внешний</t>
  </si>
  <si>
    <t>UTNR 45°60*40 угол вертикальный внешний</t>
  </si>
  <si>
    <t>UTNR 45°100*50 угол вертикальный внешний</t>
  </si>
  <si>
    <t>UTNR 45°100*60 угол вертикальный внешний</t>
  </si>
  <si>
    <t>UTNR 45°100*65 угол вертикальный внешний</t>
  </si>
  <si>
    <t>UTNR 45°100*80 угол вертикальный внешний</t>
  </si>
  <si>
    <t>UTNR 45°100*100 угол вертикальный внешний</t>
  </si>
  <si>
    <t>UTNR 45°150*50 угол вертикальный внешний</t>
  </si>
  <si>
    <t>UTNR 45°150*80 угол вертикальный внешний</t>
  </si>
  <si>
    <t>UTNR 45°150*100 угол вертикальный внешний</t>
  </si>
  <si>
    <t>UTNR 45°150*150 угол вертикальный внешний</t>
  </si>
  <si>
    <t>UTNR 45°200*50 угол вертикальный внешний</t>
  </si>
  <si>
    <t>UTNR 45°200*60 угол вертикальный внешний</t>
  </si>
  <si>
    <t>UTNR 45°200*65 угол вертикальный внешний</t>
  </si>
  <si>
    <t>UTNR 45°200*80 угол вертикальный внешний</t>
  </si>
  <si>
    <t>UTNR 45°200*100 угол вертикальный внешний</t>
  </si>
  <si>
    <t>UTNR 45°200*150 угол вертикальный внешний</t>
  </si>
  <si>
    <t>UTNR 45°200*200 угол вертикальный внешний</t>
  </si>
  <si>
    <t>UTNR 45°250*50 угол вертикальный внешний</t>
  </si>
  <si>
    <t>UTNR 45°250*80 угол вертикальный внешний</t>
  </si>
  <si>
    <t>UTNR 45°250*100 угол вертикальный внешний</t>
  </si>
  <si>
    <t>UTNR 45°250*150 угол вертикальный внешний</t>
  </si>
  <si>
    <t>UTNR 45°250*200 угол вертикальный внешний</t>
  </si>
  <si>
    <t>UTNR 45°300*50 угол вертикальный внешний</t>
  </si>
  <si>
    <t>UTNR 45°300*60 угол вертикальный внешний</t>
  </si>
  <si>
    <t>UTNR 45°300*65 угол вертикальный внешний</t>
  </si>
  <si>
    <t>UTNR 45°300*80 угол вертикальный внешний</t>
  </si>
  <si>
    <t>UTNR 45°300*100 угол вертикальный внешний</t>
  </si>
  <si>
    <t>UTNR 45°300*150 угол вертикальный внешний</t>
  </si>
  <si>
    <t>UTNR 45°300*200 угол вертикальный внешний</t>
  </si>
  <si>
    <t>UTNR 45°400*50 угол вертикальный внешний</t>
  </si>
  <si>
    <t>UTNR 45°400*60 угол вертикальный внешний</t>
  </si>
  <si>
    <t>UTNR 45°400*65 угол вертикальный внешний</t>
  </si>
  <si>
    <t>UTNR 45°400*80 угол вертикальный внешний</t>
  </si>
  <si>
    <t>UTNR 45°400*100 угол вертикальный внешний</t>
  </si>
  <si>
    <t>UTNR 45°400*150 угол вертикальный внешний</t>
  </si>
  <si>
    <t>UTNR 45°400*200 угол вертикальный внешний</t>
  </si>
  <si>
    <t>UTNR 45°500*50 угол вертикальный внешний</t>
  </si>
  <si>
    <t>UTNR 45°500*60 угол вертикальный внешний</t>
  </si>
  <si>
    <t>UTNR 45°500*65 угол вертикальный внешний</t>
  </si>
  <si>
    <t>UTNR 45°500*80 угол вертикальный внешний</t>
  </si>
  <si>
    <t>UTNR 45°500*100 угол вертикальный внешний</t>
  </si>
  <si>
    <t>UTNR 45°500*150 угол вертикальный внешний</t>
  </si>
  <si>
    <t>UTNR 45°500*200 угол вертикальный внешний</t>
  </si>
  <si>
    <t>КUTNR 45° 50  крышка угла плоского</t>
  </si>
  <si>
    <t>КUTNR 45° 60  крышка угла плоского</t>
  </si>
  <si>
    <t>КUTNR 45° 100  крышка угла плоского</t>
  </si>
  <si>
    <t>КUTNR 45° 150  крышка угла плоского</t>
  </si>
  <si>
    <t>КUTNR 45° 200  крышка угла плоского</t>
  </si>
  <si>
    <t>КUTNR 45° 250  крышка угла плоского</t>
  </si>
  <si>
    <t>КUTNR 45° 300  крышка угла плоского</t>
  </si>
  <si>
    <t>КUTNR 45° 400  крышка угла плоского</t>
  </si>
  <si>
    <t>КUTNR 45° 500  крышка угла плоского</t>
  </si>
  <si>
    <t>UTNR Угол вертикальный внешний 90°</t>
  </si>
  <si>
    <t xml:space="preserve">КUG Крышка угла плоского 45° </t>
  </si>
  <si>
    <t>UG Угол плоский (горизонтальный) 45°</t>
  </si>
  <si>
    <t>КUG Крышка угла плоского 90°</t>
  </si>
  <si>
    <t xml:space="preserve">КUTNR Крышка угла вертикального внешнего 90° </t>
  </si>
  <si>
    <t xml:space="preserve">UTNR Угол вертикальный внешний 45° </t>
  </si>
  <si>
    <t xml:space="preserve">КUTNR Крышка угла вертикального внешнего 45° </t>
  </si>
  <si>
    <t>UVV 90°50*35 угол вертикальный внутренний</t>
  </si>
  <si>
    <t>UVV 90°50*50 угол вертикальный внутренний</t>
  </si>
  <si>
    <t>UVV 90°50*60 угол вертикальный внутренний</t>
  </si>
  <si>
    <t>UVV 90°60*40 угол вертикальный внутренний</t>
  </si>
  <si>
    <t>UVV 90°100*50 угол вертикальный внутренний</t>
  </si>
  <si>
    <t>UVV 90°100*60 угол вертикальный внутренний</t>
  </si>
  <si>
    <t>UVV 90°100*65 угол вертикальный внутренний</t>
  </si>
  <si>
    <t>UVV 90°100*80 угол вертикальный внутренний</t>
  </si>
  <si>
    <t>UVV 90°100*100 угол вертикальный внутренний</t>
  </si>
  <si>
    <t>UVV 90°150*50 угол вертикальный внутренний</t>
  </si>
  <si>
    <t>UVV 90°150*80 угол вертикальный внутренний</t>
  </si>
  <si>
    <t>UVV 90°150*100 угол вертикальный внутренний</t>
  </si>
  <si>
    <t>UVV 90°150*150 угол вертикальный внутренний</t>
  </si>
  <si>
    <t>UVV 90°200*50 угол вертикальный внутренний</t>
  </si>
  <si>
    <t>UVV 90°200*60 угол вертикальный внутренний</t>
  </si>
  <si>
    <t>UVV 90°200*65 угол вертикальный внутренний</t>
  </si>
  <si>
    <t>UVV 90°200*80 угол вертикальный внутренний</t>
  </si>
  <si>
    <t>UVV 90°200*100 угол вертикальный внутренний</t>
  </si>
  <si>
    <t>UVV 90°200*150 угол вертикальный внутренний</t>
  </si>
  <si>
    <t>UVV 90°200*200 угол вертикальный внутренний</t>
  </si>
  <si>
    <t>UVV 90°250*50 угол вертикальный внутренний</t>
  </si>
  <si>
    <t>UVV 90°250*80 угол вертикальный внутренний</t>
  </si>
  <si>
    <t>UVV 90°250*100 угол вертикальный внутренний</t>
  </si>
  <si>
    <t>UVV 90°250*150 угол вертикальный внутренний</t>
  </si>
  <si>
    <t>UVV 90°250*200 угол вертикальный внутренний</t>
  </si>
  <si>
    <t>UVV 90°300*50 угол вертикальный внутренний</t>
  </si>
  <si>
    <t>UVV 90°300*60 угол вертикальный внутренний</t>
  </si>
  <si>
    <t>UVV 90°300*65 угол вертикальный внутренний</t>
  </si>
  <si>
    <t>UVV 90°300*80 угол вертикальный внутренний</t>
  </si>
  <si>
    <t>UVV 90°300*100 угол вертикальный внутренний</t>
  </si>
  <si>
    <t>UVV 90°300*150 угол вертикальный внутренний</t>
  </si>
  <si>
    <t>UVV 90°300*200 угол вертикальный внутренний</t>
  </si>
  <si>
    <t>UVV 90°400*50 угол вертикальный внутренний</t>
  </si>
  <si>
    <t>UVV 90°400*60 угол вертикальный внутренний</t>
  </si>
  <si>
    <t>UVV 90°400*65 угол вертикальный внутренний</t>
  </si>
  <si>
    <t>UVV 90°400*80 угол вертикальный внутренний</t>
  </si>
  <si>
    <t>UVV 90°400*100 угол вертикальный внутренний</t>
  </si>
  <si>
    <t>UVV 90°400*150 угол вертикальный внутренний</t>
  </si>
  <si>
    <t>UVV 90°400*200 угол вертикальный внутренний</t>
  </si>
  <si>
    <t>UVV 90°500*50 угол вертикальный внутренний</t>
  </si>
  <si>
    <t>UVV 90°500*60 угол вертикальный внутренний</t>
  </si>
  <si>
    <t>UVV 90°500*65 угол вертикальный внутренний</t>
  </si>
  <si>
    <t>UVV 90°500*80 угол вертикальный внутренний</t>
  </si>
  <si>
    <t>UVV 90°500*100 угол вертикальный внутренний</t>
  </si>
  <si>
    <t>UVV 90°500*150 угол вертикальный внутренний</t>
  </si>
  <si>
    <t>UVV 90°500*200 угол вертикальный внутренний</t>
  </si>
  <si>
    <t>КUVV 90° 50  крышка угла вертикального внутреннего</t>
  </si>
  <si>
    <t>КUVV 90° 60  крышка угла вертикального внутреннего</t>
  </si>
  <si>
    <t>КUVV 90° 100  крышка угла вертикального внутреннего</t>
  </si>
  <si>
    <t>КUVV 90° 150  крышка угла вертикального внутреннего</t>
  </si>
  <si>
    <t>КUVV 90° 200  крышка угла вертикального внутреннего</t>
  </si>
  <si>
    <t>КUVV 90° 250  крышка угла вертикального внутреннего</t>
  </si>
  <si>
    <t>КUVV 90° 300  крышка угла вертикального внутреннего</t>
  </si>
  <si>
    <t>КUVV 90° 400  крышка угла вертикального внутреннего</t>
  </si>
  <si>
    <t>КUVV 90° 500  крышка угла вертикального внутреннего</t>
  </si>
  <si>
    <t>UVV 45°50*35 угол вертикальный внутренний</t>
  </si>
  <si>
    <t>UVV 45°50*50 угол вертикальный внутренний</t>
  </si>
  <si>
    <t>UVV 45°50*60 угол вертикальный внутренний</t>
  </si>
  <si>
    <t>UVV 45°60*40 угол вертикальный внутренний</t>
  </si>
  <si>
    <t>UVV 45°100*50 угол вертикальный внутренний</t>
  </si>
  <si>
    <t>UVV 45°100*60 угол вертикальный внутренний</t>
  </si>
  <si>
    <t>UVV 45°100*65 угол вертикальный внутренний</t>
  </si>
  <si>
    <t>UVV 45°100*80 угол вертикальный внутренний</t>
  </si>
  <si>
    <t>UVV 45°100*100 угол вертикальный внутренний</t>
  </si>
  <si>
    <t>UVV 45°150*50 угол вертикальный внутренний</t>
  </si>
  <si>
    <t>UVV 45°150*80 угол вертикальный внутренний</t>
  </si>
  <si>
    <t>UVV 45°150*100 угол вертикальный внутренний</t>
  </si>
  <si>
    <t>UVV 45°150*150 угол вертикальный внутренний</t>
  </si>
  <si>
    <t>UVV 45°200*50 угол вертикальный внутренний</t>
  </si>
  <si>
    <t>UVV 45°200*60 угол вертикальный внутренний</t>
  </si>
  <si>
    <t>UVV 45°200*65 угол вертикальный внутренний</t>
  </si>
  <si>
    <t>UVV 45°200*80 угол вертикальный внутренний</t>
  </si>
  <si>
    <t>UVV 45°200*100 угол вертикальный внутренний</t>
  </si>
  <si>
    <t>UVV 45°200*150 угол вертикальный внутренний</t>
  </si>
  <si>
    <t>UVV 45°200*200 угол вертикальный внутренний</t>
  </si>
  <si>
    <t>UVV 45°250*50 угол вертикальный внутренний</t>
  </si>
  <si>
    <t>UVV 45°250*80 угол вертикальный внутренний</t>
  </si>
  <si>
    <t>UVV 45°250*100 угол вертикальный внутренний</t>
  </si>
  <si>
    <t>UVV 45°250*150 угол вертикальный внутренний</t>
  </si>
  <si>
    <t>UVV 45°250*200 угол вертикальный внутренний</t>
  </si>
  <si>
    <t>UVV 45°300*50 угол вертикальный внутренний</t>
  </si>
  <si>
    <t>UVV 45°300*60 угол вертикальный внутренний</t>
  </si>
  <si>
    <t>UVV 45°300*65 угол вертикальный внутренний</t>
  </si>
  <si>
    <t>UVV 45°300*80 угол вертикальный внутренний</t>
  </si>
  <si>
    <t>UVV 45°300*100 угол вертикальный внутренний</t>
  </si>
  <si>
    <t>UVV 45°300*150 угол вертикальный внутренний</t>
  </si>
  <si>
    <t>UVV 45°300*200 угол вертикальный внутренний</t>
  </si>
  <si>
    <t>UVV 45°400*50 угол вертикальный внутренний</t>
  </si>
  <si>
    <t>UVV 45°400*60 угол вертикальный внутренний</t>
  </si>
  <si>
    <t>UVV 45°400*65 угол вертикальный внутренний</t>
  </si>
  <si>
    <t>UVV 45°400*80 угол вертикальный внутренний</t>
  </si>
  <si>
    <t>UVV 45°400*100 угол вертикальный внутренний</t>
  </si>
  <si>
    <t>UVV 45°400*150 угол вертикальный внутренний</t>
  </si>
  <si>
    <t>UVV 45°400*200 угол вертикальный внутренний</t>
  </si>
  <si>
    <t>UVV 45°500*50 угол вертикальный внутренний</t>
  </si>
  <si>
    <t>UVV 45°500*60 угол вертикальный внутренний</t>
  </si>
  <si>
    <t>UVV 45°500*65 угол вертикальный внутренний</t>
  </si>
  <si>
    <t>UVV 45°500*80 угол вертикальный внутренний</t>
  </si>
  <si>
    <t>UVV 45°500*100 угол вертикальный внутренний</t>
  </si>
  <si>
    <t>UVV 45°500*150 угол вертикальный внутренний</t>
  </si>
  <si>
    <t>UVV 45°500*200 угол вертикальный внутренний</t>
  </si>
  <si>
    <t>КUVV 45° 50  крышка угла вертикального внутреннего</t>
  </si>
  <si>
    <t>КUVV 45° 60  крышка угла вертикального внутреннего</t>
  </si>
  <si>
    <t>КUVV 45° 100  крышка угла вертикального внутреннего</t>
  </si>
  <si>
    <t>КUVV 45° 150  крышка угла вертикального внутреннего</t>
  </si>
  <si>
    <t>КUVV 45° 200  крышка угла вертикального внутреннего</t>
  </si>
  <si>
    <t>КUVV 45° 250  крышка угла вертикального внутреннего</t>
  </si>
  <si>
    <t>КUVV 45° 300  крышка угла вертикального внутреннего</t>
  </si>
  <si>
    <t>КUVV 45° 400  крышка угла вертикального внутреннего</t>
  </si>
  <si>
    <t>КUVV 45° 500  крышка угла вертикального внутреннего</t>
  </si>
  <si>
    <t xml:space="preserve">UVV Угол вертикальный внутренний 90° </t>
  </si>
  <si>
    <t xml:space="preserve">КUVV Крышка угла вертикального внутреннего 90° </t>
  </si>
  <si>
    <t xml:space="preserve">UVV Угол вертикальный внутренний 45° </t>
  </si>
  <si>
    <t xml:space="preserve">КUVV Крышка угла вертикального внутреннего 45° </t>
  </si>
  <si>
    <t>UTG 50*35 ответвитель Т-образный</t>
  </si>
  <si>
    <t>UTG 50*50 ответвитель Т-образный</t>
  </si>
  <si>
    <t>UTG 50*60 ответвитель Т-образный</t>
  </si>
  <si>
    <t>UTG 60*40 ответвитель Т-образный</t>
  </si>
  <si>
    <t>UTG 100*50 ответвитель Т-образный</t>
  </si>
  <si>
    <t>UTG 100*60 ответвитель Т-образный</t>
  </si>
  <si>
    <t>UTG 100*65 ответвитель Т-образный</t>
  </si>
  <si>
    <t>UTG 100*80 ответвитель Т-образный</t>
  </si>
  <si>
    <t>UTG 100*100 ответвитель Т-образный</t>
  </si>
  <si>
    <t>UTG 150*50 ответвитель Т-образный</t>
  </si>
  <si>
    <t>UTG 150*80 ответвитель Т-образный</t>
  </si>
  <si>
    <t>UTG 150*100 ответвитель Т-образный</t>
  </si>
  <si>
    <t>UTG 150*150 ответвитель Т-образный</t>
  </si>
  <si>
    <t>UTG 200*50 ответвитель Т-образный</t>
  </si>
  <si>
    <t>UTG 200*60 ответвитель Т-образный</t>
  </si>
  <si>
    <t>UTG 200*65 ответвитель Т-образный</t>
  </si>
  <si>
    <t>UTG 200*80 ответвитель Т-образный</t>
  </si>
  <si>
    <t>UTG 200*100 ответвитель Т-образный</t>
  </si>
  <si>
    <t>UTG 200*150 ответвитель Т-образный</t>
  </si>
  <si>
    <t>UTG 200*200 ответвитель Т-образный</t>
  </si>
  <si>
    <t>UTG 250*50 ответвитель Т-образный</t>
  </si>
  <si>
    <t>UTG 250*80 ответвитель Т-образный</t>
  </si>
  <si>
    <t>UTG 250*100 ответвитель Т-образный</t>
  </si>
  <si>
    <t>UTG 250*150 ответвитель Т-образный</t>
  </si>
  <si>
    <t>UTG 250*200 ответвитель Т-образный</t>
  </si>
  <si>
    <t>UTG 300*50 ответвитель Т-образный</t>
  </si>
  <si>
    <t>UTG 300*60 ответвитель Т-образный</t>
  </si>
  <si>
    <t>UTG 300*65 ответвитель Т-образный</t>
  </si>
  <si>
    <t>UTG 300*80 ответвитель Т-образный</t>
  </si>
  <si>
    <t>UTG 300*100 ответвитель Т-образный</t>
  </si>
  <si>
    <t>UTG 300*150 ответвитель Т-образный</t>
  </si>
  <si>
    <t>UTG 300*200 ответвитель Т-образный</t>
  </si>
  <si>
    <t>UTG 400*50 ответвитель Т-образный</t>
  </si>
  <si>
    <t>UTG 400*60 ответвитель Т-образный</t>
  </si>
  <si>
    <t>UTG 400*65 ответвитель Т-образный</t>
  </si>
  <si>
    <t>UTG 400*80 ответвитель Т-образный</t>
  </si>
  <si>
    <t>UTG 400*100 ответвитель Т-образный</t>
  </si>
  <si>
    <t>UTG 400*150 ответвитель Т-образный</t>
  </si>
  <si>
    <t>UTG 400*200 ответвитель Т-образный</t>
  </si>
  <si>
    <t>UTG 500*50 ответвитель Т-образный</t>
  </si>
  <si>
    <t>UTG 500*60 ответвитель Т-образный</t>
  </si>
  <si>
    <t>UTG 500*65 ответвитель Т-образный</t>
  </si>
  <si>
    <t>UTG 500*80 ответвитель Т-образный</t>
  </si>
  <si>
    <t>UTG 500*100 ответвитель Т-образный</t>
  </si>
  <si>
    <t>UTG 500*150 ответвитель Т-образный</t>
  </si>
  <si>
    <t>UTG 500*200 ответвитель Т-образный</t>
  </si>
  <si>
    <t xml:space="preserve">UTG Ответвитель T-образный горизонтальный  </t>
  </si>
  <si>
    <t xml:space="preserve">KUTG Крышка Т-образного ответвителя </t>
  </si>
  <si>
    <t>KUTG 50  крышка Т-образного ответвителя</t>
  </si>
  <si>
    <t>KUTG 60  крышка Т-образного ответвителя</t>
  </si>
  <si>
    <t>KUTG 100  крышка Т-образного ответвителя</t>
  </si>
  <si>
    <t>KUTG 150  крышка Т-образного ответвителя</t>
  </si>
  <si>
    <t>KUTG 200  крышка Т-образного ответвителя</t>
  </si>
  <si>
    <t>KUTG 250  крышка Т-образного ответвителя</t>
  </si>
  <si>
    <t>KUTG 300  крышка Т-образного ответвителя</t>
  </si>
  <si>
    <t>KUTG 400  крышка Т-образного ответвителя</t>
  </si>
  <si>
    <t>KUTG 500  крышка Т-образного ответвителя</t>
  </si>
  <si>
    <t>UXG 50*35 ответвитель X-образный</t>
  </si>
  <si>
    <t>UXG 50*60 ответвитель X-образный</t>
  </si>
  <si>
    <t>UXG 60*40 ответвитель X-образный</t>
  </si>
  <si>
    <t>UXG 50*50 ответвитель X-образный</t>
  </si>
  <si>
    <t>UXG 100*50 ответвитель X-образный</t>
  </si>
  <si>
    <t>UXG 100*60 ответвитель X-образный</t>
  </si>
  <si>
    <t>UXG 100*65 ответвитель X-образный</t>
  </si>
  <si>
    <t>UXG 100*80 ответвитель X-образный</t>
  </si>
  <si>
    <t>UXG 100*100 ответвитель X-образный</t>
  </si>
  <si>
    <t>UXG 150*50 ответвитель X-образный</t>
  </si>
  <si>
    <t>UXG 150*80 ответвитель X-образный</t>
  </si>
  <si>
    <t>UXG 150*100 ответвитель X-образный</t>
  </si>
  <si>
    <t>UXG 150*150 ответвитель X-образный</t>
  </si>
  <si>
    <t>UXG 200*50 ответвитель X-образный</t>
  </si>
  <si>
    <t>UXG 200*60 ответвитель X-образный</t>
  </si>
  <si>
    <t>UXG 200*65 ответвитель X-образный</t>
  </si>
  <si>
    <t>UXG 200*80 ответвитель X-образный</t>
  </si>
  <si>
    <t>UXG 200*100 ответвитель X-образный</t>
  </si>
  <si>
    <t>UXG 200*150 ответвитель X-образный</t>
  </si>
  <si>
    <t>UXG 200*200 ответвитель X-образный</t>
  </si>
  <si>
    <t>UXG 250*50 ответвитель X-образный</t>
  </si>
  <si>
    <t>UXG 250*80 ответвитель X-образный</t>
  </si>
  <si>
    <t>UXG 250*100 ответвитель X-образный</t>
  </si>
  <si>
    <t>UXG 250*150 ответвитель X-образный</t>
  </si>
  <si>
    <t>UXG 250*200 ответвитель X-образный</t>
  </si>
  <si>
    <t>UXG 300*50 ответвитель X-образный</t>
  </si>
  <si>
    <t>UXG 300*60 ответвитель X-образный</t>
  </si>
  <si>
    <t>UXG 300*65 ответвитель X-образный</t>
  </si>
  <si>
    <t>UXG 300*80 ответвитель X-образный</t>
  </si>
  <si>
    <t>UXG 300*100 ответвитель X-образный</t>
  </si>
  <si>
    <t>UXG 300*150 ответвитель X-образный</t>
  </si>
  <si>
    <t>UXG 300*200 ответвитель X-образный</t>
  </si>
  <si>
    <t>UXG 400*50 ответвитель X-образный</t>
  </si>
  <si>
    <t>UXG 400*60 ответвитель X-образный</t>
  </si>
  <si>
    <t>UXG 400*65 ответвитель X-образный</t>
  </si>
  <si>
    <t>UXG 400*80 ответвитель X-образный</t>
  </si>
  <si>
    <t>UXG 400*100 ответвитель X-образный</t>
  </si>
  <si>
    <t>UXG 400*150 ответвитель X-образный</t>
  </si>
  <si>
    <t>UXG 400*200 ответвитель X-образный</t>
  </si>
  <si>
    <t>UXG 500*50 ответвитель X-образный</t>
  </si>
  <si>
    <t>UXG 500*60 ответвитель X-образный</t>
  </si>
  <si>
    <t>UXG 500*65 ответвитель X-образный</t>
  </si>
  <si>
    <t>UXG 500*80 ответвитель X-образный</t>
  </si>
  <si>
    <t>UXG 500*100 ответвитель X-образный</t>
  </si>
  <si>
    <t>UXG 500*150 ответвитель X-образный</t>
  </si>
  <si>
    <t>UXG 500*200 ответвитель X-образный</t>
  </si>
  <si>
    <t xml:space="preserve">UXG Ответвитель X-образный горизонтальный  </t>
  </si>
  <si>
    <t>KUXG 50 крышка  Х-образного ответвителя</t>
  </si>
  <si>
    <t>KUXG 60 крышка  Х-образного ответвителя</t>
  </si>
  <si>
    <t>KUXG 100 крышка  Х-образного ответвителя</t>
  </si>
  <si>
    <t>KUXG 150 крышка  Х-образного ответвителя</t>
  </si>
  <si>
    <t>KUXG 200 крышка  Х-образного ответвителя</t>
  </si>
  <si>
    <t>KUXG 250 крышка  Х-образного ответвителя</t>
  </si>
  <si>
    <t>KUXG 300 крышка  Х-образного ответвителя</t>
  </si>
  <si>
    <t>KUXG 400 крышка  Х-образного ответвителя</t>
  </si>
  <si>
    <t>KUXG 500 крышка  Х-образного ответвителя</t>
  </si>
  <si>
    <t>PL 150/100*50  переходник левый</t>
  </si>
  <si>
    <t>PL 200/100*50  переходник левый</t>
  </si>
  <si>
    <t>PL 200/150*50  переходник левый</t>
  </si>
  <si>
    <t>PL 300/100*50  переходник левый</t>
  </si>
  <si>
    <t>PL 300/150*50  переходник левый</t>
  </si>
  <si>
    <t>PL 300/200*50  переходник левый</t>
  </si>
  <si>
    <t>PL 400/200*50  переходник левый</t>
  </si>
  <si>
    <t>PL 400/300*50  переходник левый</t>
  </si>
  <si>
    <t>PL 500/200*50  переходник левый</t>
  </si>
  <si>
    <t>PL 500/300*50  переходник левый</t>
  </si>
  <si>
    <t>PL 500/400*50  переходник левый</t>
  </si>
  <si>
    <t>PL 600/400*50  переходник левый</t>
  </si>
  <si>
    <t>PL 600/500*50  переходник левый</t>
  </si>
  <si>
    <t>PL 150/100*80  переходник левый</t>
  </si>
  <si>
    <t>PL 200/100*80  переходник левый</t>
  </si>
  <si>
    <t>PL 200/150*80  переходник левый</t>
  </si>
  <si>
    <t>PL 300/100*80  переходник левый</t>
  </si>
  <si>
    <t>PL 300/150*80  переходник левый</t>
  </si>
  <si>
    <t>PL 300/200*80  переходник левый</t>
  </si>
  <si>
    <t>PL 400/200*80  переходник левый</t>
  </si>
  <si>
    <t>PL 400/300*80  переходник левый</t>
  </si>
  <si>
    <t>PL 500/200*80  переходник левый</t>
  </si>
  <si>
    <t>PL 500/300*80  переходник левый</t>
  </si>
  <si>
    <t>PL 500/400*80  переходник левый</t>
  </si>
  <si>
    <t>PL 600/400*80  переходник левый</t>
  </si>
  <si>
    <t>PL 600/500*80  переходник левый</t>
  </si>
  <si>
    <t>PL 150/100*100  переходник левый</t>
  </si>
  <si>
    <t>PL 200/100*100  переходник левый</t>
  </si>
  <si>
    <t>PL 200/150*100  переходник левый</t>
  </si>
  <si>
    <t>PL 300/100*100  переходник левый</t>
  </si>
  <si>
    <t>PL 300/150*100  переходник левый</t>
  </si>
  <si>
    <t>PL 300/200*100  переходник левый</t>
  </si>
  <si>
    <t>PL 400/200*100  переходник левый</t>
  </si>
  <si>
    <t>PL 400/300*100  переходник левый</t>
  </si>
  <si>
    <t>PL 500/200*100  переходник левый</t>
  </si>
  <si>
    <t>PL 500/300*100  переходник левый</t>
  </si>
  <si>
    <t>PL 500/400*100  переходник левый</t>
  </si>
  <si>
    <t>КPL 100/50  крышка переходника левого</t>
  </si>
  <si>
    <t>КPL 150/100  крышка переходника левого</t>
  </si>
  <si>
    <t>КPL 200/100  крышка переходника левого</t>
  </si>
  <si>
    <t>КPL 200/150  крышка переходника левого</t>
  </si>
  <si>
    <t>КPL 300/100  крышка переходника левого</t>
  </si>
  <si>
    <t>КPL 300/150  крышка переходника левого</t>
  </si>
  <si>
    <t>КPL 300/200  крышка переходника левого</t>
  </si>
  <si>
    <t>КPL 400/200  крышка переходника левого</t>
  </si>
  <si>
    <t>КPL 400/300  крышка переходника левого</t>
  </si>
  <si>
    <t>КPL 500/200  крышка переходника левого</t>
  </si>
  <si>
    <t>КPL 500/300  крышка переходника левого</t>
  </si>
  <si>
    <t>КPL 500/400  крышка переходника левого</t>
  </si>
  <si>
    <t>КPL 600/400  крышка переходника левого</t>
  </si>
  <si>
    <t>КPL 600/500  крышка переходника левого</t>
  </si>
  <si>
    <t>PL 100/50*50  переходник левый</t>
  </si>
  <si>
    <t xml:space="preserve">КPL Крышка переходника левого </t>
  </si>
  <si>
    <t xml:space="preserve">PL Переходник левый  </t>
  </si>
  <si>
    <t xml:space="preserve">KUXG Крышка Х-образного ответвителя </t>
  </si>
  <si>
    <t>PP 100/50*50  переходник правый</t>
  </si>
  <si>
    <t>PP 150/100*50  переходник правый</t>
  </si>
  <si>
    <t>PP 200/100*50  переходник правый</t>
  </si>
  <si>
    <t>PP 300/100*50  переходник правый</t>
  </si>
  <si>
    <t>PP 300/150*50  переходник правый</t>
  </si>
  <si>
    <t>PP 300/200*50  переходник правый</t>
  </si>
  <si>
    <t>PP 400/200*50  переходник правый</t>
  </si>
  <si>
    <t>PP 400/300*50  переходник правый</t>
  </si>
  <si>
    <t>PP 500/200*50  переходник правый</t>
  </si>
  <si>
    <t>PP 500/300*50  переходник правый</t>
  </si>
  <si>
    <t>PP 500/400*50  переходник правый</t>
  </si>
  <si>
    <t>PP 600/400*50  переходник правый</t>
  </si>
  <si>
    <t>PP 600/500*50  переходник правый</t>
  </si>
  <si>
    <t>PP 150/100*80  переходник правый</t>
  </si>
  <si>
    <t>PP 200/100*80  переходник правый</t>
  </si>
  <si>
    <t>PP 200/150*80  переходник правый</t>
  </si>
  <si>
    <t>PP 300/100*80  переходник правый</t>
  </si>
  <si>
    <t>PP 300/150*80  переходник правый</t>
  </si>
  <si>
    <t>PP 300/200*80  переходник правый</t>
  </si>
  <si>
    <t>PP 400/200*80  переходник правый</t>
  </si>
  <si>
    <t>PP 400/300*80  переходник правый</t>
  </si>
  <si>
    <t>PP 500/200*80  переходник правый</t>
  </si>
  <si>
    <t>PP 500/300*80  переходник правый</t>
  </si>
  <si>
    <t>PP 500/400*80  переходник правый</t>
  </si>
  <si>
    <t>PP 600/400*80  переходник правый</t>
  </si>
  <si>
    <t>PP 600/500*80  переходник правый</t>
  </si>
  <si>
    <t>PP 150/100*100  переходник правый</t>
  </si>
  <si>
    <t>PP 200/100*100  переходник правый</t>
  </si>
  <si>
    <t>PP 200/150*100  переходник правый</t>
  </si>
  <si>
    <t>PP 300/100*100  переходник правый</t>
  </si>
  <si>
    <t>PP 300/150*100  переходник правый</t>
  </si>
  <si>
    <t>PP 300/200*100  переходник правый</t>
  </si>
  <si>
    <t>PP 400/200*100  переходник правый</t>
  </si>
  <si>
    <t>PP 400/300*100  переходник правый</t>
  </si>
  <si>
    <t>PP 500/200*100  переходник правый</t>
  </si>
  <si>
    <t>PP 500/300*100  переходник правый</t>
  </si>
  <si>
    <t>PP 500/400*100  переходник правый</t>
  </si>
  <si>
    <t>КPP 100/50  крышка переходника правого</t>
  </si>
  <si>
    <t>КPP 150/100  крышка переходника правого</t>
  </si>
  <si>
    <t>КPP 200/100  крышка переходника правого</t>
  </si>
  <si>
    <t>КPP 200/150  крышка переходника правого</t>
  </si>
  <si>
    <t>КPP 300/100  крышка переходника правого</t>
  </si>
  <si>
    <t>КPP 300/150  крышка переходника правого</t>
  </si>
  <si>
    <t>КPP 300/200  крышка переходника правого</t>
  </si>
  <si>
    <t>КPP 400/200  крышка переходника правого</t>
  </si>
  <si>
    <t>КPP 400/300  крышка переходника правого</t>
  </si>
  <si>
    <t>КPP 500/200  крышка переходника правого</t>
  </si>
  <si>
    <t>КPP 500/300  крышка переходника правого</t>
  </si>
  <si>
    <t>КPP 500/400  крышка переходника правого</t>
  </si>
  <si>
    <t>КPP 600/400  крышка переходника правого</t>
  </si>
  <si>
    <t>КPP 600/500  крышка переходника правого</t>
  </si>
  <si>
    <t>PP 200/150*50  переходник правый</t>
  </si>
  <si>
    <t xml:space="preserve">PP Переходник правый  </t>
  </si>
  <si>
    <t xml:space="preserve">PS Переходник симметричный  </t>
  </si>
  <si>
    <t>PS 150/100*50  переходник симметричный</t>
  </si>
  <si>
    <t>PS 200/100*50  переходник симметричный</t>
  </si>
  <si>
    <t>PS 200/150*50  переходник симметричный</t>
  </si>
  <si>
    <t>PS 300/100*50  переходник симметричный</t>
  </si>
  <si>
    <t>PS 300/150*50  переходник симметричный</t>
  </si>
  <si>
    <t>PS 300/200*50  переходник симметричный</t>
  </si>
  <si>
    <t>PS 400/200*50  переходник симметричный</t>
  </si>
  <si>
    <t>PS 400/300*50  переходник симметричный</t>
  </si>
  <si>
    <t>PS 500/200*50  переходник симметричный</t>
  </si>
  <si>
    <t>PS 500/300*50  переходник симметричный</t>
  </si>
  <si>
    <t>PS 500/400*50  переходник симметричный</t>
  </si>
  <si>
    <t>PS 600/400*50  переходник симметричный</t>
  </si>
  <si>
    <t>PS 600/500*50  переходник симметричный</t>
  </si>
  <si>
    <t>PS 150/100*80  переходник симметричный</t>
  </si>
  <si>
    <t>PS 200/100*80  переходник симметричный</t>
  </si>
  <si>
    <t>PS 200/150*80  переходник симметричный</t>
  </si>
  <si>
    <t>PS 300/100*80  переходник симметричный</t>
  </si>
  <si>
    <t>PS 300/150*80  переходник симметричный</t>
  </si>
  <si>
    <t>PS 300/200*80  переходник симметричный</t>
  </si>
  <si>
    <t>PS 400/200*80  переходник симметричный</t>
  </si>
  <si>
    <t>PS 400/300*80  переходник симметричный</t>
  </si>
  <si>
    <t>PS 500/200*80  переходник симметричный</t>
  </si>
  <si>
    <t>PS 500/300*80  переходник симметричный</t>
  </si>
  <si>
    <t>PS 500/400*80  переходник симметричный</t>
  </si>
  <si>
    <t>PS 600/400*80  переходник симметричный</t>
  </si>
  <si>
    <t>PS 600/500*80  переходник симметричный</t>
  </si>
  <si>
    <t>PS 150/100*100  переходник симметричный</t>
  </si>
  <si>
    <t>PS 200/100*100  переходник симметричный</t>
  </si>
  <si>
    <t>PS 200/150*100  переходник симметричный</t>
  </si>
  <si>
    <t>PS 300/100*100  переходник симметричный</t>
  </si>
  <si>
    <t>PS 300/150*100  переходник симметричный</t>
  </si>
  <si>
    <t>PS 300/200*100  переходник симметричный</t>
  </si>
  <si>
    <t>PS 400/200*100  переходник симметричный</t>
  </si>
  <si>
    <t>PS 400/300*100  переходник симметричный</t>
  </si>
  <si>
    <t>PS 500/200*100  переходник симметричный</t>
  </si>
  <si>
    <t>PS 500/300*100  переходник симметричный</t>
  </si>
  <si>
    <t>PS 500/400*100  переходник симметричный</t>
  </si>
  <si>
    <t>КPS 100/50  крышка переходника симметричного</t>
  </si>
  <si>
    <t>КPS 150/100  крышка переходника симметричного</t>
  </si>
  <si>
    <t>КPS 200/100  крышка переходника симметричного</t>
  </si>
  <si>
    <t>КPS 200/150  крышка переходника симметричного</t>
  </si>
  <si>
    <t>КPS 300/100  крышка переходника симметричного</t>
  </si>
  <si>
    <t>КPS 300/150  крышка переходника симметричного</t>
  </si>
  <si>
    <t>КPS 300/200  крышка переходника симметричного</t>
  </si>
  <si>
    <t>КPS 400/200  крышка переходника симметричного</t>
  </si>
  <si>
    <t>КPS 400/300  крышка переходника симметричного</t>
  </si>
  <si>
    <t>КPS 500/200  крышка переходника симметричного</t>
  </si>
  <si>
    <t>КPS 500/300  крышка переходника симметричного</t>
  </si>
  <si>
    <t>КPS 500/400  крышка переходника симметричного</t>
  </si>
  <si>
    <t>КPS 600/400  крышка переходника симметричного</t>
  </si>
  <si>
    <t>КPS 600/500  крышка переходника симметричного</t>
  </si>
  <si>
    <t>PS 100/50*50  переходник симметричный</t>
  </si>
  <si>
    <t xml:space="preserve">KPS Крышка переходника симметричного  </t>
  </si>
  <si>
    <t xml:space="preserve">RL Разделитель лотка  </t>
  </si>
  <si>
    <t>RL 35  разделитель лотка</t>
  </si>
  <si>
    <t>RL 50  разделитель лотка</t>
  </si>
  <si>
    <t>RL 60  разделитель лотка</t>
  </si>
  <si>
    <t>RL 65  разделитель лотка</t>
  </si>
  <si>
    <t>RL 80  разделитель лотка</t>
  </si>
  <si>
    <t>RL 100  разделитель лотка</t>
  </si>
  <si>
    <t>RL 150  разделитель лотка</t>
  </si>
  <si>
    <t>RL 200  разделитель лотка</t>
  </si>
  <si>
    <t>ZT 50*35 заглушка торцевая</t>
  </si>
  <si>
    <t xml:space="preserve">ZT Заглушка торцевая  </t>
  </si>
  <si>
    <t>ZT50*60 заглушка торцевая</t>
  </si>
  <si>
    <t>ZT60*40 заглушка торцевая</t>
  </si>
  <si>
    <t>ZT100*50 заглушка торцевая</t>
  </si>
  <si>
    <t>ZT100*60 заглушка торцевая</t>
  </si>
  <si>
    <t>ZT100*65 заглушка торцевая</t>
  </si>
  <si>
    <t>ZT100*80 заглушка торцевая</t>
  </si>
  <si>
    <t>ZT100*100 заглушка торцевая</t>
  </si>
  <si>
    <t>ZT150*50 заглушка торцевая</t>
  </si>
  <si>
    <t>ZT150*80 заглушка торцевая</t>
  </si>
  <si>
    <t>ZT150*100 заглушка торцевая</t>
  </si>
  <si>
    <t>ZT150*150 заглушка торцевая</t>
  </si>
  <si>
    <t>ZT200*50 заглушка торцевая</t>
  </si>
  <si>
    <t>ZT200*60 заглушка торцевая</t>
  </si>
  <si>
    <t>ZT200*65 заглушка торцевая</t>
  </si>
  <si>
    <t>ZT200*80 заглушка торцевая</t>
  </si>
  <si>
    <t>ZT200*100 заглушка торцевая</t>
  </si>
  <si>
    <t>ZT200*150 заглушка торцевая</t>
  </si>
  <si>
    <t>ZT200*200 заглушка торцевая</t>
  </si>
  <si>
    <t>ZT250*50 заглушка торцевая</t>
  </si>
  <si>
    <t>ZT250*80 заглушка торцевая</t>
  </si>
  <si>
    <t>ZT250*100 заглушка торцевая</t>
  </si>
  <si>
    <t>ZT250*150 заглушка торцевая</t>
  </si>
  <si>
    <t>ZT250*200 заглушка торцевая</t>
  </si>
  <si>
    <t>ZT300*50 заглушка торцевая</t>
  </si>
  <si>
    <t>ZT300*60 заглушка торцевая</t>
  </si>
  <si>
    <t>ZT300*65 заглушка торцевая</t>
  </si>
  <si>
    <t>ZT300*80 заглушка торцевая</t>
  </si>
  <si>
    <t>ZT300*100 заглушка торцевая</t>
  </si>
  <si>
    <t>ZT300*150 заглушка торцевая</t>
  </si>
  <si>
    <t>ZT300*200 заглушка торцевая</t>
  </si>
  <si>
    <t>ZT400*50 заглушка торцевая</t>
  </si>
  <si>
    <t>ZT400*60 заглушка торцевая</t>
  </si>
  <si>
    <t>ZT400*65 заглушка торцевая</t>
  </si>
  <si>
    <t>ZT400*80 заглушка торцевая</t>
  </si>
  <si>
    <t>ZT400*100 заглушка торцевая</t>
  </si>
  <si>
    <t>ZT400*150 заглушка торцевая</t>
  </si>
  <si>
    <t>ZT400*200 заглушка торцевая</t>
  </si>
  <si>
    <t>ZT500*50 заглушка торцевая</t>
  </si>
  <si>
    <t>ZT500*60 заглушка торцевая</t>
  </si>
  <si>
    <t>ZT500*65 заглушка торцевая</t>
  </si>
  <si>
    <t>ZT500*80 заглушка торцевая</t>
  </si>
  <si>
    <t>ZT500*100 заглушка торцевая</t>
  </si>
  <si>
    <t>ZT500*150 заглушка торцевая</t>
  </si>
  <si>
    <t>ZT500*200 заглушка торцевая</t>
  </si>
  <si>
    <t>ZT50*50 заглушка торцевая</t>
  </si>
  <si>
    <t xml:space="preserve">KPP Крышка переходника правого  </t>
  </si>
  <si>
    <t xml:space="preserve">NL100*60 Лоток лестничный </t>
  </si>
  <si>
    <t xml:space="preserve">NL100*80 Лоток лестничный </t>
  </si>
  <si>
    <t xml:space="preserve">NL100*100 Лоток лестничный </t>
  </si>
  <si>
    <t xml:space="preserve">NL150*50 Лоток лестничный </t>
  </si>
  <si>
    <t xml:space="preserve">NL150*60 Лоток лестничный </t>
  </si>
  <si>
    <t xml:space="preserve">NL150*80 Лоток лестничный </t>
  </si>
  <si>
    <t xml:space="preserve">NL150*100 Лоток лестничный </t>
  </si>
  <si>
    <t xml:space="preserve">NL150*150 Лоток лестничный </t>
  </si>
  <si>
    <t xml:space="preserve">NL200*50 Лоток лестничный </t>
  </si>
  <si>
    <t xml:space="preserve">NL200*60 Лоток лестничный </t>
  </si>
  <si>
    <t xml:space="preserve">NL200*80 Лоток лестничный </t>
  </si>
  <si>
    <t xml:space="preserve">NL200*100 Лоток лестничный </t>
  </si>
  <si>
    <t xml:space="preserve">NL200*150 Лоток лестничный </t>
  </si>
  <si>
    <t xml:space="preserve">NL250*50 Лоток лестничный </t>
  </si>
  <si>
    <t xml:space="preserve">NL250*60 Лоток лестничный </t>
  </si>
  <si>
    <t xml:space="preserve">NL250*80 Лоток лестничный </t>
  </si>
  <si>
    <t xml:space="preserve">NL250*100 Лоток лестничный </t>
  </si>
  <si>
    <t xml:space="preserve">NL250*150 Лоток лестничный </t>
  </si>
  <si>
    <t xml:space="preserve">NL300*50 Лоток лестничный </t>
  </si>
  <si>
    <t xml:space="preserve">NL300*60 Лоток лестничный </t>
  </si>
  <si>
    <t xml:space="preserve">NL300*80 Лоток лестничный </t>
  </si>
  <si>
    <t xml:space="preserve">NL300*100 Лоток лестничный </t>
  </si>
  <si>
    <t xml:space="preserve">NL300*150 Лоток лестничный </t>
  </si>
  <si>
    <t xml:space="preserve">NL400*50 Лоток лестничный </t>
  </si>
  <si>
    <t xml:space="preserve">NL400*60 Лоток лестничный </t>
  </si>
  <si>
    <t xml:space="preserve">NL400*80 Лоток лестничный </t>
  </si>
  <si>
    <t xml:space="preserve">NL400*100 Лоток лестничный </t>
  </si>
  <si>
    <t xml:space="preserve">NL400*150 Лоток лестничный </t>
  </si>
  <si>
    <t xml:space="preserve">NL450*150 Лоток лестничный </t>
  </si>
  <si>
    <t xml:space="preserve">NL500*50 Лоток лестничный </t>
  </si>
  <si>
    <t xml:space="preserve">NL500*60 Лоток лестничный </t>
  </si>
  <si>
    <t xml:space="preserve">NL500*80 Лоток лестничный </t>
  </si>
  <si>
    <t xml:space="preserve">NL500*100 Лоток лестничный </t>
  </si>
  <si>
    <t xml:space="preserve">NL500*150 Лоток лестничный </t>
  </si>
  <si>
    <t xml:space="preserve">NL600*50 Лоток лестничный </t>
  </si>
  <si>
    <t xml:space="preserve">NL600*60 Лоток лестничный </t>
  </si>
  <si>
    <t xml:space="preserve">NL600*80 Лоток лестничный </t>
  </si>
  <si>
    <t xml:space="preserve">NL600*100 Лоток лестничный </t>
  </si>
  <si>
    <t xml:space="preserve">NL600*150 Лоток лестничный </t>
  </si>
  <si>
    <t xml:space="preserve">NL100*50 Лоток лестничный </t>
  </si>
  <si>
    <t>LPR 60*30  Лоток проволочный 150х35х3000</t>
  </si>
  <si>
    <t>LPR 70*50  Лоток проволочный 200х35х3000</t>
  </si>
  <si>
    <t>LPR 100*35  Лоток проволочный 300х35х3000</t>
  </si>
  <si>
    <t>LPR 150*35  Лоток проволочный 400х35х3000</t>
  </si>
  <si>
    <t>LPR 200*35  Лоток проволочный 500х35х3000</t>
  </si>
  <si>
    <t>LPR 250*35  Лоток проволочный 60х60х3000</t>
  </si>
  <si>
    <t>LPR 300*35  Лоток проволочный 100х60х3000</t>
  </si>
  <si>
    <t>LPR 350*35  Лоток проволочный 150х60х3000</t>
  </si>
  <si>
    <t>LPR 400*35  Лоток проволочный 200х60х3000</t>
  </si>
  <si>
    <t>LPR 450*35  Лоток проволочный 300х60х3000</t>
  </si>
  <si>
    <t>LPR 500*35  Лоток проволочный 400х60х3000</t>
  </si>
  <si>
    <t>LPR 550*35  Лоток проволочный 500х60х3000</t>
  </si>
  <si>
    <t>LPR 60*60  Лоток проволочный 600х60х3000</t>
  </si>
  <si>
    <t>LPR 100*60  Лоток проволочный 100х85х3000</t>
  </si>
  <si>
    <t>LPR 150*60  Лоток проволочный 150х85х3000</t>
  </si>
  <si>
    <t>LPR 200*60  Лоток проволочный 200х85х3000</t>
  </si>
  <si>
    <t>LPR 250*60  Лоток проволочный 300х85х3000</t>
  </si>
  <si>
    <t>LPR 300*60  Лоток проволочный 400х85х3000</t>
  </si>
  <si>
    <t>LPR 350*60  Лоток проволочный 500х85х3000</t>
  </si>
  <si>
    <t>LPR 400*60  Лоток проволочный 600х85х3000</t>
  </si>
  <si>
    <t>LPR 450*60  Лоток проволочный 100х105х3000</t>
  </si>
  <si>
    <t>LPR 500*60  Лоток проволочный 150х105х3000</t>
  </si>
  <si>
    <t>LPR 550*60  Лоток проволочный 500х60х3000</t>
  </si>
  <si>
    <t>LPR 600*60  Лоток проволочный 600х60х3000</t>
  </si>
  <si>
    <t>LPR 80*80  Лоток проволочный 80х80х3000</t>
  </si>
  <si>
    <t>LPR 100*85  Лоток проволочный 100х85х3000</t>
  </si>
  <si>
    <t>LPR 150*85  Лоток проволочный 600х105х3000</t>
  </si>
  <si>
    <t>LPR 200*85  Лоток проволочный 200х85х3000</t>
  </si>
  <si>
    <t>LPR 250*85  Лоток проволочный 250х85х3000</t>
  </si>
  <si>
    <t>LPR 300*85  Лоток проволочный 300х85х3000</t>
  </si>
  <si>
    <t>LPR 350*85  Лоток проволочный 350х85х3000</t>
  </si>
  <si>
    <t>LPR 400*85  Лоток проволочный 400х85х3000</t>
  </si>
  <si>
    <t>LPR 500*85  Лоток проволочный 500х85х3000</t>
  </si>
  <si>
    <t>LPR 600*85  Лоток проволочный 600х85х3000</t>
  </si>
  <si>
    <t>LPR 100*105  Лоток проволочный 100х105х3000</t>
  </si>
  <si>
    <t>LPR 125*105  Лоток проволочный 125х105х3000</t>
  </si>
  <si>
    <t>LPR 150*105  Лоток проволочный 150х105х3000</t>
  </si>
  <si>
    <t>LPR 200*105  Лоток проволочный 200х105х3000</t>
  </si>
  <si>
    <t>LPR 300*105  Лоток проволочный 300х105х3000</t>
  </si>
  <si>
    <t>LPR 400*105  Лоток проволочный 400х105х3000</t>
  </si>
  <si>
    <t>LPR 500*105  Лоток проволочный 500х105х3000</t>
  </si>
  <si>
    <t>LPR 600*105  Лоток проволочный 600х105х3000</t>
  </si>
  <si>
    <t>Проволочный лоток LPR S=4мм</t>
  </si>
  <si>
    <t>LPR 50*35  Лоток проволочный 100х35х3000</t>
  </si>
  <si>
    <t>Проволочный лоток усиленный LPR S=5мм</t>
  </si>
  <si>
    <t xml:space="preserve">SPLB  Соединитель безвинтовой </t>
  </si>
  <si>
    <t>SPLO20  Соединительный комплект (одинарный)</t>
  </si>
  <si>
    <t>SPLD20  Соединительный комплект (двойной)</t>
  </si>
  <si>
    <t>PPPL Площадка подвеса</t>
  </si>
  <si>
    <t>KPPL Крюк для подвеса проволочного лотка</t>
  </si>
  <si>
    <t>MPU Монтажная плата универсальная</t>
  </si>
  <si>
    <t>КN150 кронштейн настенный 150мм</t>
  </si>
  <si>
    <t>КN200 кронштейн настенный 200мм</t>
  </si>
  <si>
    <t>KN300 кронштейн настенный 300мм</t>
  </si>
  <si>
    <t>KN400 кронштейн настенный 400мм</t>
  </si>
  <si>
    <t>KN500 кронштейн настенный 500мм</t>
  </si>
  <si>
    <t>KN600 кронштейн настенный 600мм</t>
  </si>
  <si>
    <t xml:space="preserve">NPK 200 Настенная планка консольная </t>
  </si>
  <si>
    <t>SP600 стойка потолочная</t>
  </si>
  <si>
    <t>SP800 стойка потолочная</t>
  </si>
  <si>
    <t>SP1000 стойка потолочная</t>
  </si>
  <si>
    <t>SP2000 стойка потолочная</t>
  </si>
  <si>
    <t>SP3000 стойка потолочная</t>
  </si>
  <si>
    <t xml:space="preserve">KP Кронштейн потолочный </t>
  </si>
  <si>
    <t xml:space="preserve">PPK Поворотно - потолочный кронштейн </t>
  </si>
  <si>
    <t xml:space="preserve">SM Станина монтажная </t>
  </si>
  <si>
    <t>SPLP соединитель перфорированный</t>
  </si>
  <si>
    <t>LPRu 60*60  Лоток проволочный усиленный 60х60х3000</t>
  </si>
  <si>
    <t>LPRu 100*60  Лоток проволочный усиленный 100х60х3000</t>
  </si>
  <si>
    <t>LPRu 150*60  Лоток проволочный усиленный 150х60х3000</t>
  </si>
  <si>
    <t>LPRu 200*60  Лоток проволочный усиленный 200х60х3000</t>
  </si>
  <si>
    <t>LPRu 300*60  Лоток проволочный усиленный 300х60х3000</t>
  </si>
  <si>
    <t>LPRu 400*60  Лоток проволочный усиленный 400х60х3000</t>
  </si>
  <si>
    <t>LPRu 500*60  Лоток проволочный усиленный 500х60х3000</t>
  </si>
  <si>
    <t>LPRu 600*60  Лоток проволочный усиленный 600х60х3000</t>
  </si>
  <si>
    <t>LPRu 200*85  Лоток проволочный усиленный 200х85х3000</t>
  </si>
  <si>
    <t>LPRu 300*85  Лоток проволочный усиленный 300х85х3000</t>
  </si>
  <si>
    <t>LPRu 400*85  Лоток проволочный усиленный 400х85х3000</t>
  </si>
  <si>
    <t>LPRu 500*85  Лоток проволочный усиленный 500х85х3000</t>
  </si>
  <si>
    <t>LPRu 600*85  Лоток проволочный усиленный 600х85х3000</t>
  </si>
  <si>
    <t>LPRu 100*105  Лоток проволочный усиленный 100х85х3000</t>
  </si>
  <si>
    <t>LPRu 200*105  Лоток проволочный усиленный 200х105х3000</t>
  </si>
  <si>
    <t>LPRu 300*105  Лоток проволочный усиленный 300х105х3000</t>
  </si>
  <si>
    <t>LPRu 400*105  Лоток проволочный усиленный 400х105х3000</t>
  </si>
  <si>
    <t>LPRu 500*105  Лоток проволочный усиленный 500х105х3000</t>
  </si>
  <si>
    <t>LPRu 600*105  Лоток проволочный усиленный 600х105х3000</t>
  </si>
  <si>
    <t>LPRu 100*85  Лоток проволочный усиленный 100х85х3000</t>
  </si>
  <si>
    <t>Толщина,HDZ</t>
  </si>
  <si>
    <t>KPPS Кронштейн потолочный C-образный</t>
  </si>
  <si>
    <t>TM Скоба для настенного крепления 100мм</t>
  </si>
  <si>
    <t>TM Скоба для настенного крепления 200мм</t>
  </si>
  <si>
    <t>TM Скоба для настенного крепления 300мм</t>
  </si>
  <si>
    <t>TM Скоба для настенного крепления 400мм</t>
  </si>
  <si>
    <t>TM Скоба для настенного крепления 500мм</t>
  </si>
  <si>
    <t>KNU100 кронштейн настенный усленный 100мм</t>
  </si>
  <si>
    <t>KNU200 кронштейн настенный усленный 200мм</t>
  </si>
  <si>
    <t>KNU300 кронштейн настенный усленный 300мм</t>
  </si>
  <si>
    <t>KNU400 кронштейн настенный усленный 400мм</t>
  </si>
  <si>
    <t>KNU500 кронштейн настенный усленный 500мм</t>
  </si>
  <si>
    <t>KNU600 кронштейн настенный усленный 600мм</t>
  </si>
  <si>
    <t>KSP100 консоль стойки потолочной 100мм</t>
  </si>
  <si>
    <t>KSP200 консоль стойки потолочной 200мм</t>
  </si>
  <si>
    <t>KSP150 консоль стойки потолочной 150мм</t>
  </si>
  <si>
    <t>KSP300 консоль стойки потолочной 300мм</t>
  </si>
  <si>
    <t>KSP400 консоль стойки потолочной 400мм</t>
  </si>
  <si>
    <t>KSP500 консоль стойки потолочной 500мм</t>
  </si>
  <si>
    <t>KSP600 консоль стойки потолочной 600мм</t>
  </si>
  <si>
    <t>SKP100 – подвес потолочный С-образный</t>
  </si>
  <si>
    <t>SKP150 – подвес потолочный С-образный</t>
  </si>
  <si>
    <t>SKP200 – подвес потолочный С-образный</t>
  </si>
  <si>
    <t>SKP300 – подвес потолочный С-образный</t>
  </si>
  <si>
    <t>SKP400 – подвес потолочный С-образный</t>
  </si>
  <si>
    <t>SKP500 – подвес потолочный С-образный</t>
  </si>
  <si>
    <t>SP400 стойка потолочная 40*30</t>
  </si>
  <si>
    <t>KDSP100 Консоль двусторонняя для стойки
потолочной</t>
  </si>
  <si>
    <t>KDSP200 Консоль двусторонняя для стойки
потолочной</t>
  </si>
  <si>
    <t>KDSP300 Консоль двусторонняя для стойки
потолочной</t>
  </si>
  <si>
    <t>KDSP400 Консоль двусторонняя для стойки
потолочной</t>
  </si>
  <si>
    <t>KDSP500 Консоль двусторонняя для стойки
потолочной</t>
  </si>
  <si>
    <t>KDSP600 Консоль двусторонняя для стойки
потолочной</t>
  </si>
  <si>
    <t>КN100 кронштейн настенный 100мм</t>
  </si>
  <si>
    <t>PN100 подвес настенный 100мм</t>
  </si>
  <si>
    <t>PN200 подвес настенный 200мм</t>
  </si>
  <si>
    <t>PN300 подвес настенный 300мм</t>
  </si>
  <si>
    <t>PN400 подвес настенный 400мм</t>
  </si>
  <si>
    <t>Прайсовые цены:</t>
  </si>
  <si>
    <t>ЛП</t>
  </si>
  <si>
    <t>ЛГ</t>
  </si>
  <si>
    <t>КЛ</t>
  </si>
  <si>
    <t>Полки,стойки</t>
  </si>
  <si>
    <t>Профиль</t>
  </si>
  <si>
    <t>Аксессуары</t>
  </si>
  <si>
    <t xml:space="preserve">Проволочный </t>
  </si>
  <si>
    <t>Лестница</t>
  </si>
  <si>
    <t>Страт</t>
  </si>
  <si>
    <t>Стойки Страт</t>
  </si>
  <si>
    <t>Кронштейн страт</t>
  </si>
  <si>
    <t>Крепеж Страт</t>
  </si>
  <si>
    <t>Стойка 30 рублей пил</t>
  </si>
  <si>
    <t>Ваша скидка</t>
  </si>
  <si>
    <t>,</t>
  </si>
  <si>
    <t>КЛ Крышка лотка</t>
  </si>
  <si>
    <t>УТГ 50*35 ответвитель Т-образный</t>
  </si>
  <si>
    <t>УТГ 50*50 ответвитель Т-образный</t>
  </si>
  <si>
    <t>УТГ 50*60 ответвитель Т-образный</t>
  </si>
  <si>
    <t>УТГ 60*40 ответвитель Т-образный</t>
  </si>
  <si>
    <t>УТГ 100*50 ответвитель Т-образный</t>
  </si>
  <si>
    <t>УТГ 100*60 ответвитель Т-образный</t>
  </si>
  <si>
    <t>УТГ 100*65 ответвитель Т-образный</t>
  </si>
  <si>
    <t>УТГ 100*80 ответвитель Т-образный</t>
  </si>
  <si>
    <t>УТГ 100*100 ответвитель Т-образный</t>
  </si>
  <si>
    <t>УТГ 150*50 ответвитель Т-образный</t>
  </si>
  <si>
    <t>УТГ 150*80 ответвитель Т-образный</t>
  </si>
  <si>
    <t>УТГ 150*100 ответвитель Т-образный</t>
  </si>
  <si>
    <t>УТГ 150*150 ответвитель Т-образный</t>
  </si>
  <si>
    <t>УТГ 200*50 ответвитель Т-образный</t>
  </si>
  <si>
    <t>УТГ 200*60 ответвитель Т-образный</t>
  </si>
  <si>
    <t>УТГ 200*65 ответвитель Т-образный</t>
  </si>
  <si>
    <t>УТГ 200*80 ответвитель Т-образный</t>
  </si>
  <si>
    <t>УТГ 200*100 ответвитель Т-образный</t>
  </si>
  <si>
    <t>УТГ 200*150 ответвитель Т-образный</t>
  </si>
  <si>
    <t>УТГ 200*200 ответвитель Т-образный</t>
  </si>
  <si>
    <t>УТГ 250*50 ответвитель Т-образный</t>
  </si>
  <si>
    <t>УТГ 250*80 ответвитель Т-образный</t>
  </si>
  <si>
    <t>УТГ 250*100 ответвитель Т-образный</t>
  </si>
  <si>
    <t>УТГ 250*150 ответвитель Т-образный</t>
  </si>
  <si>
    <t>УТГ 250*200 ответвитель Т-образный</t>
  </si>
  <si>
    <t>УТГ 300*50 ответвитель Т-образный</t>
  </si>
  <si>
    <t>УТГ 300*60 ответвитель Т-образный</t>
  </si>
  <si>
    <t>УТГ 300*65 ответвитель Т-образный</t>
  </si>
  <si>
    <t>УТГ 300*80 ответвитель Т-образный</t>
  </si>
  <si>
    <t>УТГ 300*100 ответвитель Т-образный</t>
  </si>
  <si>
    <t>УТГ 300*150 ответвитель Т-образный</t>
  </si>
  <si>
    <t>УТГ 300*200 ответвитель Т-образный</t>
  </si>
  <si>
    <t>УТГ 400*50 ответвитель Т-образный</t>
  </si>
  <si>
    <t>УТГ 400*60 ответвитель Т-образный</t>
  </si>
  <si>
    <t>УТГ 400*65 ответвитель Т-образный</t>
  </si>
  <si>
    <t>УТГ 400*80 ответвитель Т-образный</t>
  </si>
  <si>
    <t>УТГ 400*100 ответвитель Т-образный</t>
  </si>
  <si>
    <t>УТГ 400*150 ответвитель Т-образный</t>
  </si>
  <si>
    <t>УТГ 400*200 ответвитель Т-образный</t>
  </si>
  <si>
    <t>УТГ 500*50 ответвитель Т-образный</t>
  </si>
  <si>
    <t>УТГ 500*60 ответвитель Т-образный</t>
  </si>
  <si>
    <t>УТГ 500*65 ответвитель Т-образный</t>
  </si>
  <si>
    <t>УТГ 500*80 ответвитель Т-образный</t>
  </si>
  <si>
    <t>УТГ 500*100 ответвитель Т-образный</t>
  </si>
  <si>
    <t>УТГ 500*150 ответвитель Т-образный</t>
  </si>
  <si>
    <t>УТГ 500*200 ответвитель Т-образный</t>
  </si>
  <si>
    <t>KУТГ 50  крышка Т-образного ответвителя</t>
  </si>
  <si>
    <t>KУТГ 60  крышка Т-образного ответвителя</t>
  </si>
  <si>
    <t>KУТГ 100  крышка Т-образного ответвителя</t>
  </si>
  <si>
    <t>KУТГ 150  крышка Т-образного ответвителя</t>
  </si>
  <si>
    <t>KУТГ 200  крышка Т-образного ответвителя</t>
  </si>
  <si>
    <t>KУТГ 250  крышка Т-образного ответвителя</t>
  </si>
  <si>
    <t>KУТГ 300  крышка Т-образного ответвителя</t>
  </si>
  <si>
    <t>KУТГ 400  крышка Т-образного ответвителя</t>
  </si>
  <si>
    <t>KУТГ 500  крышка Т-образного ответвителя</t>
  </si>
  <si>
    <t xml:space="preserve">УХГ Ответвитель X-образный горизонтальный  </t>
  </si>
  <si>
    <t>УХГ 50*35 ответвитель X-образный</t>
  </si>
  <si>
    <t>УХГ 50*60 ответвитель X-образный</t>
  </si>
  <si>
    <t>УХГ 60*40 ответвитель X-образный</t>
  </si>
  <si>
    <t>УХГ 50*50 ответвитель X-образный</t>
  </si>
  <si>
    <t>УХГ 100*50 ответвитель X-образный</t>
  </si>
  <si>
    <t>УХГ 100*60 ответвитель X-образный</t>
  </si>
  <si>
    <t>УХГ 100*65 ответвитель X-образный</t>
  </si>
  <si>
    <t>УХГ 100*80 ответвитель X-образный</t>
  </si>
  <si>
    <t>УХГ 100*100 ответвитель X-образный</t>
  </si>
  <si>
    <t>УХГ 150*50 ответвитель X-образный</t>
  </si>
  <si>
    <t>УХГ 150*80 ответвитель X-образный</t>
  </si>
  <si>
    <t>УХГ 150*100 ответвитель X-образный</t>
  </si>
  <si>
    <t>УХГ 150*150 ответвитель X-образный</t>
  </si>
  <si>
    <t>УХГ 200*50 ответвитель X-образный</t>
  </si>
  <si>
    <t>УХГ 200*60 ответвитель X-образный</t>
  </si>
  <si>
    <t>УХГ 200*65 ответвитель X-образный</t>
  </si>
  <si>
    <t>УХГ 200*80 ответвитель X-образный</t>
  </si>
  <si>
    <t>УХГ 200*100 ответвитель X-образный</t>
  </si>
  <si>
    <t>УХГ 200*150 ответвитель X-образный</t>
  </si>
  <si>
    <t>УХГ 200*200 ответвитель X-образный</t>
  </si>
  <si>
    <t>УХГ 250*50 ответвитель X-образный</t>
  </si>
  <si>
    <t>УХГ 250*80 ответвитель X-образный</t>
  </si>
  <si>
    <t>УХГ 250*100 ответвитель X-образный</t>
  </si>
  <si>
    <t>УХГ 250*150 ответвитель X-образный</t>
  </si>
  <si>
    <t>УХГ 250*200 ответвитель X-образный</t>
  </si>
  <si>
    <t>УХГ 300*50 ответвитель X-образный</t>
  </si>
  <si>
    <t>УХГ 300*60 ответвитель X-образный</t>
  </si>
  <si>
    <t>УХГ 300*65 ответвитель X-образный</t>
  </si>
  <si>
    <t>УХГ 300*80 ответвитель X-образный</t>
  </si>
  <si>
    <t>УХГ 300*100 ответвитель X-образный</t>
  </si>
  <si>
    <t>УХГ 300*150 ответвитель X-образный</t>
  </si>
  <si>
    <t>УХГ 300*200 ответвитель X-образный</t>
  </si>
  <si>
    <t>УХГ 400*50 ответвитель X-образный</t>
  </si>
  <si>
    <t>УХГ 400*60 ответвитель X-образный</t>
  </si>
  <si>
    <t>УХГ 400*65 ответвитель X-образный</t>
  </si>
  <si>
    <t>УХГ 400*80 ответвитель X-образный</t>
  </si>
  <si>
    <t>УХГ 400*100 ответвитель X-образный</t>
  </si>
  <si>
    <t>УХГ 400*150 ответвитель X-образный</t>
  </si>
  <si>
    <t>УХГ 400*200 ответвитель X-образный</t>
  </si>
  <si>
    <t>УХГ 500*50 ответвитель X-образный</t>
  </si>
  <si>
    <t>УХГ 500*60 ответвитель X-образный</t>
  </si>
  <si>
    <t>УХГ 500*65 ответвитель X-образный</t>
  </si>
  <si>
    <t>УХГ 500*80 ответвитель X-образный</t>
  </si>
  <si>
    <t>УХГ 500*100 ответвитель X-образный</t>
  </si>
  <si>
    <t>УХГ 500*150 ответвитель X-образный</t>
  </si>
  <si>
    <t>УХГ 500*200 ответвитель X-образный</t>
  </si>
  <si>
    <t xml:space="preserve">KУХГ Крышка Х-образного ответвителя </t>
  </si>
  <si>
    <t xml:space="preserve">ПЛ Переходник левый  </t>
  </si>
  <si>
    <t xml:space="preserve">КПЛ Крышка переходника левого </t>
  </si>
  <si>
    <t xml:space="preserve">ПП Переходник правый  </t>
  </si>
  <si>
    <t xml:space="preserve">KПП Крышка переходника правого  </t>
  </si>
  <si>
    <t xml:space="preserve">ПС Переходник симметричный  </t>
  </si>
  <si>
    <t xml:space="preserve">KПС Крышка переходника симметричного  </t>
  </si>
  <si>
    <t>ЗТ 50*35 заглушка торцевая</t>
  </si>
  <si>
    <t xml:space="preserve">ЗТ  Заглушка торцевая  </t>
  </si>
  <si>
    <t>ЗТ 50*50 заглушка торцевая</t>
  </si>
  <si>
    <t>ЗТ 50*60 заглушка торцевая</t>
  </si>
  <si>
    <t>ЗТ 60*40 заглушка торцевая</t>
  </si>
  <si>
    <t>ЗТ 100*50 заглушка торцевая</t>
  </si>
  <si>
    <t>ЗТ 100*60 заглушка торцевая</t>
  </si>
  <si>
    <t>ЗТ 100*65 заглушка торцевая</t>
  </si>
  <si>
    <t>ЗТ 100*80 заглушка торцевая</t>
  </si>
  <si>
    <t>ЗТ 100*100 заглушка торцевая</t>
  </si>
  <si>
    <t>ЗТ 150*50 заглушка торцевая</t>
  </si>
  <si>
    <t>ЗТ 150*80 заглушка торцевая</t>
  </si>
  <si>
    <t>ЗТ 150*100 заглушка торцевая</t>
  </si>
  <si>
    <t>ЗТ 150*150 заглушка торцевая</t>
  </si>
  <si>
    <t>ЗТ 200*50 заглушка торцевая</t>
  </si>
  <si>
    <t>ЗТ 200*60 заглушка торцевая</t>
  </si>
  <si>
    <t>ЗТ 200*65 заглушка торцевая</t>
  </si>
  <si>
    <t>ЗТ 200*80 заглушка торцевая</t>
  </si>
  <si>
    <t>ЗТ 200*100 заглушка торцевая</t>
  </si>
  <si>
    <t>ЗТ 200*150 заглушка торцевая</t>
  </si>
  <si>
    <t>ЗТ 200*200 заглушка торцевая</t>
  </si>
  <si>
    <t>ЗТ 250*50 заглушка торцевая</t>
  </si>
  <si>
    <t>ЗТ 250*80 заглушка торцевая</t>
  </si>
  <si>
    <t>ЗТ 250*100 заглушка торцевая</t>
  </si>
  <si>
    <t>ЗТ 250*150 заглушка торцевая</t>
  </si>
  <si>
    <t>ЗТ 250*200 заглушка торцевая</t>
  </si>
  <si>
    <t>ЗТ 300*50 заглушка торцевая</t>
  </si>
  <si>
    <t>ЗТ 300*60 заглушка торцевая</t>
  </si>
  <si>
    <t>ЗТ 300*65 заглушка торцевая</t>
  </si>
  <si>
    <t>ЗТ 300*80 заглушка торцевая</t>
  </si>
  <si>
    <t>ЗТ 300*100 заглушка торцевая</t>
  </si>
  <si>
    <t>ЗТ 300*150 заглушка торцевая</t>
  </si>
  <si>
    <t>ЗТ 300*200 заглушка торцевая</t>
  </si>
  <si>
    <t>ЗТ 400*50 заглушка торцевая</t>
  </si>
  <si>
    <t>ЗТ 400*60 заглушка торцевая</t>
  </si>
  <si>
    <t>ЗТ 400*65 заглушка торцевая</t>
  </si>
  <si>
    <t>ЗТ 400*80 заглушка торцевая</t>
  </si>
  <si>
    <t>ЗТ 400*100 заглушка торцевая</t>
  </si>
  <si>
    <t>ЗТ 400*150 заглушка торцевая</t>
  </si>
  <si>
    <t>ЗТ 400*200 заглушка торцевая</t>
  </si>
  <si>
    <t>ЗТ 500*50 заглушка торцевая</t>
  </si>
  <si>
    <t>ЗТ 500*60 заглушка торцевая</t>
  </si>
  <si>
    <t>ЗТ 500*65 заглушка торцевая</t>
  </si>
  <si>
    <t>ЗТ 500*80 заглушка торцевая</t>
  </si>
  <si>
    <t>ЗТ 500*100 заглушка торцевая</t>
  </si>
  <si>
    <t>ЗТ 500*150 заглушка торцевая</t>
  </si>
  <si>
    <t>ЗТ 500*200 заглушка торцевая</t>
  </si>
  <si>
    <t>СКП 100 – С-образный кронштейн потолочный</t>
  </si>
  <si>
    <t>СКП 150 – С-образный кронштейн потолочный</t>
  </si>
  <si>
    <t>СКП 200 – С-образный кронштейн потолочный</t>
  </si>
  <si>
    <t>СКП 300 – С-образный кронштейн потолочный</t>
  </si>
  <si>
    <t>СКП 400 – С-образный кронштейн потолочный</t>
  </si>
  <si>
    <t>СКП 500 – С-образный кронштейн потолочный</t>
  </si>
  <si>
    <t>КН 100 кронштейн настенный 100мм</t>
  </si>
  <si>
    <t>КН 150 кронштейн настенный 150мм</t>
  </si>
  <si>
    <t>КН 200 кронштейн настенный 200мм</t>
  </si>
  <si>
    <t>КН 300 кронштейн настенный 300мм</t>
  </si>
  <si>
    <t>КН 400 кронштейн настенный 400мм</t>
  </si>
  <si>
    <t>КН 500 кронштейн настенный 500мм</t>
  </si>
  <si>
    <t>КН 600 кронштейн настенный 600мм</t>
  </si>
  <si>
    <t>КНУ 100 кронштейн настенный усленный 100мм</t>
  </si>
  <si>
    <t>КНУ 200 кронштейн настенный усленный 200мм</t>
  </si>
  <si>
    <t>КНУ 300 кронштейн настенный усленный 300мм</t>
  </si>
  <si>
    <t>КНУ 400 кронштейн настенный усленный 400мм</t>
  </si>
  <si>
    <t>КНУ 500 кронштейн настенный усленный 500мм</t>
  </si>
  <si>
    <t>КНУ 600 кронштейн настенный усленный 600мм</t>
  </si>
  <si>
    <t>КД 100 Консоль двусторонняя для стойки
потолочной</t>
  </si>
  <si>
    <t>КД 200 Консоль двусторонняя для стойки
потолочной</t>
  </si>
  <si>
    <t>КД 300 Консоль двусторонняя для стойки
потолочной</t>
  </si>
  <si>
    <t>КД 400 Консоль двусторонняя для стойки
потолочной</t>
  </si>
  <si>
    <t>КД 500 Консоль двусторонняя для стойки
потолочной</t>
  </si>
  <si>
    <t>КД 600 Консоль двусторонняя для стойки
потолочной</t>
  </si>
  <si>
    <t>К-100 консоль стойки 100мм</t>
  </si>
  <si>
    <t>К-150 консоль стойки 150мм</t>
  </si>
  <si>
    <t>К-200 консоль стойки 200мм</t>
  </si>
  <si>
    <t>К-300 консоль стойки 300мм</t>
  </si>
  <si>
    <t>К-500 консоль стойки 500мм</t>
  </si>
  <si>
    <t>К-600 консоль стойки 600мм</t>
  </si>
  <si>
    <t>K-400 консоль стойки 400мм</t>
  </si>
  <si>
    <t>ГКН 200 Г-образный кронштейн настенный 200мм</t>
  </si>
  <si>
    <t>ГКН 300 Г-образный кронштейн настенный 300мм</t>
  </si>
  <si>
    <t>ГКН 400 Г-образный кронштейн настенный 400мм</t>
  </si>
  <si>
    <t xml:space="preserve">КП Кронштейн потолочный </t>
  </si>
  <si>
    <t xml:space="preserve">СМ Станина монтажная </t>
  </si>
  <si>
    <t xml:space="preserve">ППК Поворотно - потолочный кронштейн </t>
  </si>
  <si>
    <t>СПЛО  Соединительный комплект (одинарный)</t>
  </si>
  <si>
    <t>СПЛД  Соединительный комплект (двойной)</t>
  </si>
  <si>
    <t>ФП Площадка подвеса</t>
  </si>
  <si>
    <t>КППЛ Крюк для подвеса проволочного лотка</t>
  </si>
  <si>
    <t>МПУ Монтажная плата универсальная</t>
  </si>
  <si>
    <t>КНУ 150 кронштейн настенный усленный 150мм</t>
  </si>
  <si>
    <t>КНУ 250 кронштейн настенный усленный 250мм</t>
  </si>
  <si>
    <t>СУ соединитель универсальный H50</t>
  </si>
  <si>
    <t>СУ соединитель универсальный H80</t>
  </si>
  <si>
    <t>СУ соединитель универсальный H100</t>
  </si>
  <si>
    <t>СУ соединитель универсальный H150</t>
  </si>
  <si>
    <t>СУ соединитель универсальный H200</t>
  </si>
  <si>
    <t>СПУ соединительная пластина универсальная H50</t>
  </si>
  <si>
    <t>СПУ соединительная пластина универсальная H80</t>
  </si>
  <si>
    <t>СПУ соединительная пластина универсальная H100</t>
  </si>
  <si>
    <t>СПУ соединительная пластина универсальная H150</t>
  </si>
  <si>
    <t>СПУ соединительная пластина универсальная H200</t>
  </si>
  <si>
    <t>СШ соединитель шарнирный H50</t>
  </si>
  <si>
    <t>СШ соединитель шарнирный H80</t>
  </si>
  <si>
    <t>СШ соединитель шарнирный H100</t>
  </si>
  <si>
    <t>СШ соединитель шарнирный H150</t>
  </si>
  <si>
    <t>СШ соединитель шарнирный H200</t>
  </si>
  <si>
    <t>Толщина, Zn (цинк)</t>
  </si>
  <si>
    <t>Толщина, HDZ (гор.цинк)</t>
  </si>
  <si>
    <t>Толщина, AISI (нерж)</t>
  </si>
  <si>
    <t>Zn (цинк)</t>
  </si>
  <si>
    <t xml:space="preserve"> HDZ (гор.цинк)</t>
  </si>
  <si>
    <t>КЛ 50 крышка лотка</t>
  </si>
  <si>
    <t>КЛ 60 крышка лотка</t>
  </si>
  <si>
    <t>КЛ 80 крышка лотка</t>
  </si>
  <si>
    <t>КЛ 100 крышка лотка</t>
  </si>
  <si>
    <t>КЛ 150 крышка лотка</t>
  </si>
  <si>
    <t>КЛ 200 крышка лотка</t>
  </si>
  <si>
    <t>КЛ 250 крышка лотка</t>
  </si>
  <si>
    <t>КЛ 300 крышка лотка</t>
  </si>
  <si>
    <t>КЛ 400 крышка лотка</t>
  </si>
  <si>
    <t>КЛ 500 крышка лотка</t>
  </si>
  <si>
    <t>КЛ 600 крышка лотка</t>
  </si>
  <si>
    <t>Ваша скидка,%</t>
  </si>
  <si>
    <t>Траверса монтажная</t>
  </si>
  <si>
    <t xml:space="preserve">L-образный профиль </t>
  </si>
  <si>
    <t>2,5 мм</t>
  </si>
  <si>
    <t>Траверса монтажная 30*20(3м) 1,2мм</t>
  </si>
  <si>
    <t>Траверса монтажная 38*40(3м) 1,5мм</t>
  </si>
  <si>
    <t>3,0 мм</t>
  </si>
  <si>
    <t>ПП стойки потолочные 2,0 мм</t>
  </si>
  <si>
    <t>Полки 2,0 мм</t>
  </si>
  <si>
    <t>Стойка 2,0 мм</t>
  </si>
  <si>
    <t>Стойка 2,5 мм</t>
  </si>
  <si>
    <t>Полки 1,5 мм</t>
  </si>
  <si>
    <t>ПП стойки потолочные 2,5 мм</t>
  </si>
  <si>
    <t xml:space="preserve"> Zn (цинк)</t>
  </si>
  <si>
    <t xml:space="preserve"> AISI (нерж)</t>
  </si>
  <si>
    <t>2,0 мм</t>
  </si>
  <si>
    <t>Проволочный лоток ЛПР 4,0 мм</t>
  </si>
  <si>
    <t>На главную</t>
  </si>
  <si>
    <t>ГКН 100 Г-образный кронштейн настенный 100мм</t>
  </si>
  <si>
    <t>КПШ Кронштейн под шпильку С-образный</t>
  </si>
  <si>
    <t>Болт/винт 6*10</t>
  </si>
  <si>
    <t>Болт 6*20</t>
  </si>
  <si>
    <t>Болт 8*50</t>
  </si>
  <si>
    <t>Болт 8*60</t>
  </si>
  <si>
    <t>Болт 10*50</t>
  </si>
  <si>
    <t>Болт 10*80</t>
  </si>
  <si>
    <t>Болт 12*40</t>
  </si>
  <si>
    <t>Гайка М8 с насечкой</t>
  </si>
  <si>
    <t>Гайка М10 с насечкой</t>
  </si>
  <si>
    <t>Гайка М12</t>
  </si>
  <si>
    <t>Гайка М12 с насечкой</t>
  </si>
  <si>
    <t>Шайба М12</t>
  </si>
  <si>
    <t>Шайба М12 с увел. полями</t>
  </si>
  <si>
    <t>Анкер болт с гайкой</t>
  </si>
  <si>
    <t>Анкер болт с гайкой 8х120 мм</t>
  </si>
  <si>
    <t>Анкер болт с гайкой 8х100 мм</t>
  </si>
  <si>
    <t>Анкер болт с гайкой 8х85 мм</t>
  </si>
  <si>
    <t>Гайка соеденительная М12</t>
  </si>
  <si>
    <t>Заземление</t>
  </si>
  <si>
    <t>PTCE Пластина для заземление (медь)</t>
  </si>
  <si>
    <t xml:space="preserve"> Заземляющий проводник универсальный 6х200мм</t>
  </si>
  <si>
    <t>Скобы однолапковые</t>
  </si>
  <si>
    <t>Скобы двулапковые</t>
  </si>
  <si>
    <t>Толщина, мм</t>
  </si>
  <si>
    <t>Скобы однолапковые 10х25х10 S=0,8</t>
  </si>
  <si>
    <t>Скобы однолапковые 16х33х12 S=1,0</t>
  </si>
  <si>
    <t>Скобы однолапковые 20х37х12 S=1,2</t>
  </si>
  <si>
    <t>Скобы однолапковые 26х46х14 S=1,2</t>
  </si>
  <si>
    <t>Скобы двулапковые 10х36х10 S=0,8</t>
  </si>
  <si>
    <t>Скобы двулапковые 26х65х14 S=1,2</t>
  </si>
  <si>
    <t>Скобы двулапковые 20х53х12 S=1,0</t>
  </si>
  <si>
    <t>Скобы двулапковые 16х47х12 S=0,8</t>
  </si>
  <si>
    <t>Диаметр</t>
  </si>
  <si>
    <t>Длина</t>
  </si>
  <si>
    <t>Толщина</t>
  </si>
  <si>
    <t>Толщина профиля, мм</t>
  </si>
  <si>
    <t>Длина, мм</t>
  </si>
  <si>
    <t>Цена без покрытия, ед/руб</t>
  </si>
  <si>
    <t>Страт-профиль 41х21, толщина 2 мм</t>
  </si>
  <si>
    <t>Страт-профиль 41х21х6000 мм, толщина 2 мм</t>
  </si>
  <si>
    <t>шт</t>
  </si>
  <si>
    <t>Страт-профиль 41х21х3000 мм, толщина 2 мм</t>
  </si>
  <si>
    <t>Страт-профиль 41х21х2900 мм, толщина 2 мм</t>
  </si>
  <si>
    <t>Страт-профиль 41х21х2800 мм, толщина 2 мм</t>
  </si>
  <si>
    <t>Страт-профиль 41х21х2700 мм, толщина 2 мм</t>
  </si>
  <si>
    <t>Страт-профиль 41х21х2600 мм, толщина 2 мм</t>
  </si>
  <si>
    <t>Страт-профиль 41х21х2500 мм, толщина 2 мм</t>
  </si>
  <si>
    <t>Страт-профиль 41х21х2400 мм, толщина 2 мм</t>
  </si>
  <si>
    <t>Страт-профиль 41х21х2300 мм, толщина 2 мм</t>
  </si>
  <si>
    <t>Страт-профиль 41х21х2200 мм, толщина 2 мм</t>
  </si>
  <si>
    <t>Страт-профиль 41х21х2100 мм, толщина 2 мм</t>
  </si>
  <si>
    <t>Страт-профиль 41х21х2000 мм, толщина 2 мм</t>
  </si>
  <si>
    <t>Страт-профиль 41х21х1900 мм, толщина 2 мм</t>
  </si>
  <si>
    <t>Страт-профиль 41х21х1800 мм, толщина 2 мм</t>
  </si>
  <si>
    <t>Страт-профиль 41х21х1700 мм, толщина 2 мм</t>
  </si>
  <si>
    <t>Страт-профиль 41х21х1600 мм, толщина 2 мм</t>
  </si>
  <si>
    <t>Страт-профиль 41х21х1500 мм, толщина 2 мм</t>
  </si>
  <si>
    <t>Страт-профиль 41х21х1400 мм, толщина 2 мм</t>
  </si>
  <si>
    <t>Страт-профиль 41х21х1300 мм, толщина 2 мм</t>
  </si>
  <si>
    <t>Страт-профиль 41х21х1200 мм, толщина 2 мм</t>
  </si>
  <si>
    <t>Страт-профиль 41х21х1100 мм, толщина 2 мм</t>
  </si>
  <si>
    <t>Страт-профиль 41х21х1000 мм, толщина 2 мм</t>
  </si>
  <si>
    <t>Страт-профиль 41х21х900 мм, толщина 2 мм</t>
  </si>
  <si>
    <t>Страт-профиль 41х21х800 мм, толщина 2 мм</t>
  </si>
  <si>
    <t>Страт-профиль 41х21х700 мм, толщина 2 мм</t>
  </si>
  <si>
    <t>Страт-профиль 41х21х600 мм, толщина 2 мм</t>
  </si>
  <si>
    <t>Страт-профиль 41х21х500 мм, толщина 2 мм</t>
  </si>
  <si>
    <t>Страт-профиль 41х21х400 мм, толщина 2 мм</t>
  </si>
  <si>
    <t>Страт-профиль 41х21х300 мм, толщина 2 мм</t>
  </si>
  <si>
    <t>Страт-профиль 41х21, толщина 2,5 мм</t>
  </si>
  <si>
    <t>Страт-профиль 41х21х6000 мм, толщина 2,5 мм</t>
  </si>
  <si>
    <t>Страт-профиль 41х21х3000 мм, толщина 2,5 мм</t>
  </si>
  <si>
    <t>Страт-профиль 41х21х2900 мм, толщина 2,5 мм</t>
  </si>
  <si>
    <t>Страт-профиль 41х21х2800 мм, толщина 2,5 мм</t>
  </si>
  <si>
    <t>Страт-профиль 41х21х2700 мм, толщина 2,5 мм</t>
  </si>
  <si>
    <t>Страт-профиль 41х21х2600 мм, толщина 2,5 мм</t>
  </si>
  <si>
    <t>Страт-профиль 41х21х2500 мм, толщина 2,5 мм</t>
  </si>
  <si>
    <t>Страт-профиль 41х21х2400 мм, толщина 2,5 мм</t>
  </si>
  <si>
    <t>Страт-профиль 41х21х2300 мм, толщина 2,5 мм</t>
  </si>
  <si>
    <t>Страт-профиль 41х21х2200 мм, толщина 2,5 мм</t>
  </si>
  <si>
    <t>Страт-профиль 41х21х2100 мм, толщина 2,5 мм</t>
  </si>
  <si>
    <t>Страт-профиль 41х21х2000 мм, толщина 2,5 мм</t>
  </si>
  <si>
    <t>Страт-профиль 41х21х1900 мм, толщина 2,5 мм</t>
  </si>
  <si>
    <t>Страт-профиль 41х21х1800 мм, толщина 2,5 мм</t>
  </si>
  <si>
    <t>Страт-профиль 41х21х1700 мм, толщина 2,5 мм</t>
  </si>
  <si>
    <t>Страт-профиль 41х21х1600 мм, толщина 2,5 мм</t>
  </si>
  <si>
    <t>Страт-профиль 41х21х1500 мм, толщина 2,5 мм</t>
  </si>
  <si>
    <t>Страт-профиль 41х21х1400 мм, толщина 2,5 мм</t>
  </si>
  <si>
    <t>Страт-профиль 41х21х1300 мм, толщина 2,5 мм</t>
  </si>
  <si>
    <t>Страт-профиль 41х21х1200 мм, толщина 2,5 мм</t>
  </si>
  <si>
    <t>Страт-профиль 41х21х1100 мм, толщина 2,5 мм</t>
  </si>
  <si>
    <t>Страт-профиль 41х21х1000 мм, толщина 2,5 мм</t>
  </si>
  <si>
    <t>Страт-профиль 41х21х900 мм, толщина 2,5 мм</t>
  </si>
  <si>
    <t>Страт-профиль 41х21х800 мм, толщина 2,5 мм</t>
  </si>
  <si>
    <t>Страт-профиль 41х21х700 мм, толщина 2,5 мм</t>
  </si>
  <si>
    <t>Страт-профиль 41х21х600 мм, толщина 2,5 мм</t>
  </si>
  <si>
    <t>Страт-профиль 41х21х500 мм, толщина 2,5 мм</t>
  </si>
  <si>
    <t>Страт-профиль 41х21х400 мм, толщина 2,5 мм</t>
  </si>
  <si>
    <t>Страт-профиль 41х21х300 мм, толщина 2,5 мм</t>
  </si>
  <si>
    <t>Страт-профиль двойной 41х21, толщина 2 мм</t>
  </si>
  <si>
    <t>Страт-профиль двойной 41х21х6000 мм, толщина 2 мм</t>
  </si>
  <si>
    <t>Страт-профиль двойной 41х21х3000 мм, толщина 2 мм</t>
  </si>
  <si>
    <t>Страт-профиль двойной 41х21х2900 мм, толщина 2 мм</t>
  </si>
  <si>
    <t>Страт-профиль двойной 41х21х2800 мм, толщина 2 мм</t>
  </si>
  <si>
    <t>Страт-профиль двойной 41х21х2700 мм, толщина 2 мм</t>
  </si>
  <si>
    <t>Страт-профиль двойной 41х21х2600 мм, толщина 2 мм</t>
  </si>
  <si>
    <t>Страт-профиль двойной 41х21х2500 мм, толщина 2 мм</t>
  </si>
  <si>
    <t>Страт-профиль двойной 41х21х2400 мм, толщина 2 мм</t>
  </si>
  <si>
    <t>Страт-профиль двойной 41х21х2300 мм, толщина 2 мм</t>
  </si>
  <si>
    <t>Страт-профиль двойной 41х21х2200 мм, толщина 2 мм</t>
  </si>
  <si>
    <t>Страт-профиль двойной 41х21х2100 мм, толщина 2 мм</t>
  </si>
  <si>
    <t>Страт-профиль двойной 41х21х2000 мм, толщина 2 мм</t>
  </si>
  <si>
    <t>Страт-профиль двойной 41х21х1900 мм, толщина 2 мм</t>
  </si>
  <si>
    <t>Страт-профиль двойной 41х21х1800 мм, толщина 2 мм</t>
  </si>
  <si>
    <t>Страт-профиль двойной 41х21х1700 мм, толщина 2 мм</t>
  </si>
  <si>
    <t>Страт-профиль двойной 41х21х1600 мм, толщина 2 мм</t>
  </si>
  <si>
    <t>Страт-профиль двойной 41х21х1500 мм, толщина 2 мм</t>
  </si>
  <si>
    <t>Страт-профиль двойной 41х21х1400 мм, толщина 2 мм</t>
  </si>
  <si>
    <t>Страт-профиль двойной 41х21х1300 мм, толщина 2 мм</t>
  </si>
  <si>
    <t>Страт-профиль двойной 41х21х1200 мм, толщина 2 мм</t>
  </si>
  <si>
    <t>Страт-профиль двойной 41х21х1100 мм, толщина 2 мм</t>
  </si>
  <si>
    <t>Страт-профиль двойной 41х21х1000 мм, толщина 2 мм</t>
  </si>
  <si>
    <t>Страт-профиль двойной 41х21х900 мм, толщина 2 мм</t>
  </si>
  <si>
    <t>Страт-профиль двойной 41х21х800 мм, толщина 2 мм</t>
  </si>
  <si>
    <t>Страт-профиль двойной 41х21х700 мм, толщина 2 мм</t>
  </si>
  <si>
    <t>Страт-профиль двойной 41х21х600 мм, толщина 2 мм</t>
  </si>
  <si>
    <t>Страт-профиль двойной 41х21х500 мм, толщина 2 мм</t>
  </si>
  <si>
    <t>Страт-профиль двойной 41х21х400 мм, толщина 2 мм</t>
  </si>
  <si>
    <t>Страт-профиль двойной 41х21х300 мм, толщина 2 мм</t>
  </si>
  <si>
    <t>Страт-профиль двойной 41х21, толщина 2,5 мм</t>
  </si>
  <si>
    <t>Страт-профиль двойной 41х21х6000 мм, толщина 2,5 мм</t>
  </si>
  <si>
    <t>Страт-профиль двойной 41х21х3000 мм, толщина 2,5 мм</t>
  </si>
  <si>
    <t>Страт-профиль двойной 41х21х2900 мм, толщина 2,5 мм</t>
  </si>
  <si>
    <t>Страт-профиль двойной 41х21х2800 мм, толщина 2,5 мм</t>
  </si>
  <si>
    <t>Страт-профиль двойной 41х21х2700 мм, толщина 2,5 мм</t>
  </si>
  <si>
    <t>Страт-профиль двойной 41х21х2600 мм, толщина 2,5 мм</t>
  </si>
  <si>
    <t>Страт-профиль двойной 41х21х2500 мм, толщина 2,5 мм</t>
  </si>
  <si>
    <t>Страт-профиль двойной 41х21х2400 мм, толщина 2,5 мм</t>
  </si>
  <si>
    <t>Страт-профиль двойной 41х21х2300 мм, толщина 2,5 мм</t>
  </si>
  <si>
    <t>Страт-профиль двойной 41х21х2200 мм, толщина 2,5 мм</t>
  </si>
  <si>
    <t>Страт-профиль двойной 41х21х2100 мм, толщина 2,5 мм</t>
  </si>
  <si>
    <t>Страт-профиль двойной 41х21х2000 мм, толщина 2,5 мм</t>
  </si>
  <si>
    <t>Страт-профиль двойной 41х21х1900 мм, толщина 2,5 мм</t>
  </si>
  <si>
    <t>Страт-профиль двойной 41х21х1800 мм, толщина 2,5 мм</t>
  </si>
  <si>
    <t>Страт-профиль двойной 41х21х1700 мм, толщина 2,5 мм</t>
  </si>
  <si>
    <t>Страт-профиль двойной 41х21х1600 мм, толщина 2,5 мм</t>
  </si>
  <si>
    <t>Страт-профиль двойной 41х21х1500 мм, толщина 2,5 мм</t>
  </si>
  <si>
    <t>Страт-профиль двойной 41х21х1400 мм, толщина 2,5 мм</t>
  </si>
  <si>
    <t>Страт-профиль двойной 41х21х1300 мм, толщина 2,5 мм</t>
  </si>
  <si>
    <t>Страт-профиль двойной 41х21х1200 мм, толщина 2,5 мм</t>
  </si>
  <si>
    <t>Страт-профиль двойной 41х21х1100 мм, толщина 2,5 мм</t>
  </si>
  <si>
    <t>Страт-профиль двойной 41х21х1000 мм, толщина 2,5 мм</t>
  </si>
  <si>
    <t>Страт-профиль двойной 41х21х900 мм, толщина 2,5 мм</t>
  </si>
  <si>
    <t>Страт-профиль двойной 41х21х800 мм, толщина 2,5 мм</t>
  </si>
  <si>
    <t>Страт-профиль двойной 41х21х700 мм, толщина 2,5 мм</t>
  </si>
  <si>
    <t>Страт-профиль двойной 41х21х600 мм, толщина 2,5 мм</t>
  </si>
  <si>
    <t>Страт-профиль двойной 41х21х500 мм, толщина 2,5 мм</t>
  </si>
  <si>
    <t>Страт-профиль двойной 41х21х400 мм, толщина 2,5 мм</t>
  </si>
  <si>
    <t>Страт-профиль двойной 41х21х300 мм, толщина 2,5 мм</t>
  </si>
  <si>
    <t>Страт-профиль 41х41, толщина 2 мм</t>
  </si>
  <si>
    <t>Страт-профиль 41х41х6000 мм, толщина 2 мм</t>
  </si>
  <si>
    <t>Страт-профиль 41х41х3000 мм, толщина 2 мм</t>
  </si>
  <si>
    <t>Страт-профиль 41х41х2900 мм, толщина 2 мм</t>
  </si>
  <si>
    <t>Страт-профиль 41х41х2800 мм, толщина 2 мм</t>
  </si>
  <si>
    <t>Страт-профиль 41х41х2700 мм, толщина 2 мм</t>
  </si>
  <si>
    <t>Страт-профиль 41х41х2600 мм, толщина 2 мм</t>
  </si>
  <si>
    <t>Страт-профиль 41х41х2500 мм, толщина 2 мм</t>
  </si>
  <si>
    <t>Страт-профиль 41х41х2400 мм, толщина 2 мм</t>
  </si>
  <si>
    <t>Страт-профиль 41х41х2300 мм, толщина 2 мм</t>
  </si>
  <si>
    <t>Страт-профиль 41х41х2200 мм, толщина 2 мм</t>
  </si>
  <si>
    <t>Страт-профиль 41х41х2100 мм, толщина 2 мм</t>
  </si>
  <si>
    <t>Страт-профиль 41х41х2000 мм, толщина 2 мм</t>
  </si>
  <si>
    <t>Страт-профиль 41х41х1900 мм, толщина 2 мм</t>
  </si>
  <si>
    <t>Страт-профиль 41х41х1800 мм, толщина 2 мм</t>
  </si>
  <si>
    <t>Страт-профиль 41х41х1700 мм, толщина 2 мм</t>
  </si>
  <si>
    <t>Страт-профиль 41х41х1600 мм, толщина 2 мм</t>
  </si>
  <si>
    <t>Страт-профиль 41х41х1500 мм, толщина 2 мм</t>
  </si>
  <si>
    <t>Страт-профиль 41х41х1400 мм, толщина 2 мм</t>
  </si>
  <si>
    <t>Страт-профиль 41х41х1300 мм, толщина 2 мм</t>
  </si>
  <si>
    <t>Страт-профиль 41х41х1200 мм, толщина 2 мм</t>
  </si>
  <si>
    <t>Страт-профиль 41х41х1100 мм, толщина 2 мм</t>
  </si>
  <si>
    <t>Страт-профиль 41х41х1000 мм, толщина 2 мм</t>
  </si>
  <si>
    <t>Страт-профиль 41х41х900 мм, толщина 2 мм</t>
  </si>
  <si>
    <t>Страт-профиль 41х41х800 мм, толщина 2 мм</t>
  </si>
  <si>
    <t>Страт-профиль 41х41х700 мм, толщина 2 мм</t>
  </si>
  <si>
    <t>Страт-профиль 41х41х600 мм, толщина 2 мм</t>
  </si>
  <si>
    <t>Страт-профиль 41х41х500 мм, толщина 2 мм</t>
  </si>
  <si>
    <t>Страт-профиль 41х41х400 мм, толщина 2 мм</t>
  </si>
  <si>
    <t>Страт-профиль 41х41х300 мм, толщина 2 мм</t>
  </si>
  <si>
    <t>Страт-профиль 41х41, толщина 2,5 мм</t>
  </si>
  <si>
    <t>Страт-профиль 41х41х6000 мм, толщина 2,5 мм</t>
  </si>
  <si>
    <t>Страт-профиль 41х41х3000 мм, толщина 2,5 мм</t>
  </si>
  <si>
    <t>Страт-профиль 41х41х2900 мм, толщина 2,5 мм</t>
  </si>
  <si>
    <t>Страт-профиль 41х41х2800 мм, толщина 2,5 мм</t>
  </si>
  <si>
    <t>Страт-профиль 41х41х2700 мм, толщина 2,5 мм</t>
  </si>
  <si>
    <t>Страт-профиль 41х41х2600 мм, толщина 2,5 мм</t>
  </si>
  <si>
    <t>Страт-профиль 41х41х2500 мм, толщина 2,5 мм</t>
  </si>
  <si>
    <t>Страт-профиль 41х41х2400 мм, толщина 2,5 мм</t>
  </si>
  <si>
    <t>Страт-профиль 41х41х2300 мм, толщина 2,5 мм</t>
  </si>
  <si>
    <t>Страт-профиль 41х41х2200 мм, толщина 2,5 мм</t>
  </si>
  <si>
    <t>Страт-профиль 41х41х2100 мм, толщина 2,5 мм</t>
  </si>
  <si>
    <t>Страт-профиль 41х41х2000 мм, толщина 2,5 мм</t>
  </si>
  <si>
    <t>Страт-профиль 41х41х1900 мм, толщина 2,5 мм</t>
  </si>
  <si>
    <t>Страт-профиль 41х41х1800 мм, толщина 2,5 мм</t>
  </si>
  <si>
    <t>Страт-профиль 41х41х1700 мм, толщина 2,5 мм</t>
  </si>
  <si>
    <t>Страт-профиль 41х41х1600 мм, толщина 2,5 мм</t>
  </si>
  <si>
    <t>Страт-профиль 41х41х1500 мм, толщина 2,5 мм</t>
  </si>
  <si>
    <t>Страт-профиль 41х41х1400 мм, толщина 2,5 мм</t>
  </si>
  <si>
    <t>Страт-профиль 41х41х1300 мм, толщина 2,5 мм</t>
  </si>
  <si>
    <t>Страт-профиль 41х41х1200 мм, толщина 2,5 мм</t>
  </si>
  <si>
    <t>Страт-профиль 41х41х1100 мм, толщина 2,5 мм</t>
  </si>
  <si>
    <t>Страт-профиль 41х41х1000 мм, толщина 2,5 мм</t>
  </si>
  <si>
    <t>Страт-профиль 41х41х900 мм, толщина 2,5 мм</t>
  </si>
  <si>
    <t>Страт-профиль 41х41х800 мм, толщина 2,5 мм</t>
  </si>
  <si>
    <t>Страт-профиль 41х41х700 мм, толщина 2,5 мм</t>
  </si>
  <si>
    <t>Страт-профиль 41х41х600 мм, толщина 2,5 мм</t>
  </si>
  <si>
    <t>Страт-профиль 41х41х500 мм, толщина 2,5 мм</t>
  </si>
  <si>
    <t>Страт-профиль 41х41х400 мм, толщина 2,5 мм</t>
  </si>
  <si>
    <t>Страт-профиль 41х41х300 мм, толщина 2,5 мм</t>
  </si>
  <si>
    <t>Страт-профиль двойной 41х41, толщина 2 мм</t>
  </si>
  <si>
    <t>Страт-профиль двойной 41х41х6000 мм, толщина 2 мм</t>
  </si>
  <si>
    <t>Страт-профиль двойной 41х41х3000 мм, толщина 2 мм</t>
  </si>
  <si>
    <t>Страт-профиль двойной 41х41х2900 мм, толщина 2 мм</t>
  </si>
  <si>
    <t>Страт-профиль двойной 41х41х2800 мм, толщина 2 мм</t>
  </si>
  <si>
    <t>Страт-профиль двойной 41х41х2700 мм, толщина 2 мм</t>
  </si>
  <si>
    <t>Страт-профиль двойной 41х41х2600 мм, толщина 2 мм</t>
  </si>
  <si>
    <t>Страт-профиль двойной 41х41х2500 мм, толщина 2 мм</t>
  </si>
  <si>
    <t>Страт-профиль двойной 41х41х2400 мм, толщина 2 мм</t>
  </si>
  <si>
    <t>Страт-профиль двойной 41х41х2300 мм, толщина 2 мм</t>
  </si>
  <si>
    <t>Страт-профиль двойной 41х41х2200 мм, толщина 2 мм</t>
  </si>
  <si>
    <t>Страт-профиль двойной 41х41х2100 мм, толщина 2 мм</t>
  </si>
  <si>
    <t>Страт-профиль двойной 41х41х2000 мм, толщина 2 мм</t>
  </si>
  <si>
    <t>Страт-профиль двойной 41х41х1900 мм, толщина 2 мм</t>
  </si>
  <si>
    <t>Страт-профиль двойной 41х41х1800 мм, толщина 2 мм</t>
  </si>
  <si>
    <t>Страт-профиль двойной 41х41х1700 мм, толщина 2 мм</t>
  </si>
  <si>
    <t>Страт-профиль двойной 41х41х1600 мм, толщина 2 мм</t>
  </si>
  <si>
    <t>Страт-профиль двойной 41х41х1500 мм, толщина 2 мм</t>
  </si>
  <si>
    <t>Страт-профиль двойной 41х41х1400 мм, толщина 2 мм</t>
  </si>
  <si>
    <t>Страт-профиль двойной 41х41х1300 мм, толщина 2 мм</t>
  </si>
  <si>
    <t>Страт-профиль двойной 41х41х1200 мм, толщина 2 мм</t>
  </si>
  <si>
    <t>Страт-профиль двойной 41х41х1100 мм, толщина 2 мм</t>
  </si>
  <si>
    <t>Страт-профиль двойной 41х41х1000 мм, толщина 2 мм</t>
  </si>
  <si>
    <t>Страт-профиль двойной 41х41х900 мм, толщина 2 мм</t>
  </si>
  <si>
    <t>Страт-профиль двойной 41х41х800 мм, толщина 2 мм</t>
  </si>
  <si>
    <t>Страт-профиль двойной 41х41х700 мм, толщина 2 мм</t>
  </si>
  <si>
    <t>Страт-профиль двойной 41х41х600 мм, толщина 2 мм</t>
  </si>
  <si>
    <t>Страт-профиль двойной 41х41х500 мм, толщина 2 мм</t>
  </si>
  <si>
    <t>Страт-профиль двойной 41х41х400 мм, толщина 2 мм</t>
  </si>
  <si>
    <t>Страт-профиль двойной 41х41х300 мм, толщина 2 мм</t>
  </si>
  <si>
    <t>Страт-профиль двойной 41х41, толщина 2,5 мм</t>
  </si>
  <si>
    <t>Страт-профиль двойной 41х41х6000 мм, толщина 2,5 мм</t>
  </si>
  <si>
    <t>Страт-профиль двойной 41х41х3000 мм, толщина 2,5 мм</t>
  </si>
  <si>
    <t>Страт-профиль двойной 41х41х2900 мм, толщина 2,5 мм</t>
  </si>
  <si>
    <t>Страт-профиль двойной 41х41х2800 мм, толщина 2,5 мм</t>
  </si>
  <si>
    <t>Страт-профиль двойной 41х41х2700 мм, толщина 2,5 мм</t>
  </si>
  <si>
    <t>Страт-профиль двойной 41х41х2600 мм, толщина 2,5 мм</t>
  </si>
  <si>
    <t>Страт-профиль двойной 41х41х2500 мм, толщина 2,5 мм</t>
  </si>
  <si>
    <t>Страт-профиль двойной 41х41х2400 мм, толщина 2,5 мм</t>
  </si>
  <si>
    <t>Страт-профиль двойной 41х41х2300 мм, толщина 2,5 мм</t>
  </si>
  <si>
    <t>Страт-профиль двойной 41х41х2200 мм, толщина 2,5 мм</t>
  </si>
  <si>
    <t>Страт-профиль двойной 41х41х2100 мм, толщина 2,5 мм</t>
  </si>
  <si>
    <t>Страт-профиль двойной 41х41х2000 мм, толщина 2,5 мм</t>
  </si>
  <si>
    <t>Страт-профиль двойной 41х41х1900 мм, толщина 2,5 мм</t>
  </si>
  <si>
    <t>Страт-профиль двойной 41х41х1800 мм, толщина 2,5 мм</t>
  </si>
  <si>
    <t>Страт-профиль двойной 41х41х1700 мм, толщина 2,5 мм</t>
  </si>
  <si>
    <t>Страт-профиль двойной 41х41х1600 мм, толщина 2,5 мм</t>
  </si>
  <si>
    <t>Страт-профиль двойной 41х41х1500 мм, толщина 2,5 мм</t>
  </si>
  <si>
    <t>Страт-профиль двойной 41х41х1400 мм, толщина 2,5 мм</t>
  </si>
  <si>
    <t>Страт-профиль двойной 41х41х1300 мм, толщина 2,5 мм</t>
  </si>
  <si>
    <t>Страт-профиль двойной 41х41х1200 мм, толщина 2,5 мм</t>
  </si>
  <si>
    <t>Страт-профиль двойной 41х41х1100 мм, толщина 2,5 мм</t>
  </si>
  <si>
    <t>Страт-профиль двойной 41х41х1000 мм, толщина 2,5 мм</t>
  </si>
  <si>
    <t>Страт-профиль двойной 41х41х900 мм, толщина 2,5 мм</t>
  </si>
  <si>
    <t>Страт-профиль двойной 41х41х800 мм, толщина 2,5 мм</t>
  </si>
  <si>
    <t>Страт-профиль двойной 41х41х700 мм, толщина 2,5 мм</t>
  </si>
  <si>
    <t>Страт-профиль двойной 41х41х600 мм, толщина 2,5 мм</t>
  </si>
  <si>
    <t>Страт-профиль двойной 41х41х500 мм, толщина 2,5 мм</t>
  </si>
  <si>
    <t>Страт-профиль двойной 41х41х400 мм, толщина 2,5 мм</t>
  </si>
  <si>
    <t>Страт-профиль двойной 41х41х300 мм, толщина 2,5 мм</t>
  </si>
  <si>
    <t>Толщина пятки, мм</t>
  </si>
  <si>
    <t>Базовая цена сендзимир, ед/руб</t>
  </si>
  <si>
    <t>Страт-стойка 41х21, длинной 200 мм</t>
  </si>
  <si>
    <t>Страт-стойка 41х21, длинной 300 мм</t>
  </si>
  <si>
    <t>Страт-стойка 41х21, длинной 400 мм</t>
  </si>
  <si>
    <t>Страт-стойка 41х21, длинной 500 мм</t>
  </si>
  <si>
    <t>Страт-стойка 41х21, длинной 600 мм</t>
  </si>
  <si>
    <t>Страт-стойка 41х21, длинной 700 мм</t>
  </si>
  <si>
    <t>Страт-стойка 41х21, длинной 800 мм</t>
  </si>
  <si>
    <t>Страт-стойка 41х21, длинной 900 мм</t>
  </si>
  <si>
    <t>Страт-стойка 41х21, длинной 1000 мм</t>
  </si>
  <si>
    <t>Страт-стойка 41х21, длинной 1100 мм</t>
  </si>
  <si>
    <t>Страт-стойка 41х21, длинной 1200 мм</t>
  </si>
  <si>
    <t>Страт-стойка 41х21, длинной 1300 мм</t>
  </si>
  <si>
    <t>Страт-стойка 41х21, длинной 1400 мм</t>
  </si>
  <si>
    <t>Страт-стойка 41х21, длинной 1500 мм</t>
  </si>
  <si>
    <t>Страт-стойка 41х21, длинной 1600 мм</t>
  </si>
  <si>
    <t>Страт-стойка 41х21, длинной 1700 мм</t>
  </si>
  <si>
    <t>Страт-стойка 41х21, длинной 1800 мм</t>
  </si>
  <si>
    <t>Страт-стойка 41х21, длинной 1900 мм</t>
  </si>
  <si>
    <t>Страт-стойка 41х21, длинной 2000 мм</t>
  </si>
  <si>
    <t>Страт-стойка 41х21, длинной 2100 мм</t>
  </si>
  <si>
    <t>Страт-стойка 41х21, длинной 2200 мм</t>
  </si>
  <si>
    <t>Страт-стойка 41х21, длинной 2300 мм</t>
  </si>
  <si>
    <t>Страт-стойка 41х21, длинной 2400 мм</t>
  </si>
  <si>
    <t>Страт-стойка 41х21, длинной 2500 мм</t>
  </si>
  <si>
    <t>Страт-стойка 41х21, длинной 2600 мм</t>
  </si>
  <si>
    <t>Страт-стойка 41х21, длинной 2700 мм</t>
  </si>
  <si>
    <t>Страт-стойка 41х21, длинной 2800 мм</t>
  </si>
  <si>
    <t>Страт-стойка 41х21, длинной 2900 мм</t>
  </si>
  <si>
    <t>Страт-стойка 41х21, длинной 3000 мм</t>
  </si>
  <si>
    <t>Страт-стойка двойная 41х21, длинной 200 мм</t>
  </si>
  <si>
    <t>Страт-стойка двойная 41х21, длинной 300 мм</t>
  </si>
  <si>
    <t>Страт-стойка двойная 41х21, длинной 400 мм</t>
  </si>
  <si>
    <t>Страт-стойка двойная 41х21, длинной 500 мм</t>
  </si>
  <si>
    <t>Страт-стойка двойная 41х21, длинной 600 мм</t>
  </si>
  <si>
    <t>Страт-стойка двойная 41х21, длинной 700 мм</t>
  </si>
  <si>
    <t>Страт-стойка двойная 41х21, длинной 800 мм</t>
  </si>
  <si>
    <t>Страт-стойка двойная 41х21, длинной 900 мм</t>
  </si>
  <si>
    <t>Страт-стойка двойная 41х21, длинной 1000 мм</t>
  </si>
  <si>
    <t>Страт-стойка двойная 41х21, длинной 1100 мм</t>
  </si>
  <si>
    <t>Страт-стойка двойная 41х21, длинной 1200 мм</t>
  </si>
  <si>
    <t>Страт-стойка двойная 41х21, длинной 1300 мм</t>
  </si>
  <si>
    <t>Страт-стойка двойная 41х21, длинной 1400 мм</t>
  </si>
  <si>
    <t>Страт-стойка двойная 41х21, длинной 1500 мм</t>
  </si>
  <si>
    <t>Страт-стойка двойная 41х21, длинной 1600 мм</t>
  </si>
  <si>
    <t>Страт-стойка двойная 41х21, длинной 1700 мм</t>
  </si>
  <si>
    <t>Страт-стойка двойная 41х21, длинной 1800 мм</t>
  </si>
  <si>
    <t>Страт-стойка двойная 41х21, длинной 1900 мм</t>
  </si>
  <si>
    <t>Страт-стойка двойная 41х21, длинной 2000 мм</t>
  </si>
  <si>
    <t>Страт-стойка двойная 41х21, длинной 2100 мм</t>
  </si>
  <si>
    <t>Страт-стойка двойная 41х21, длинной 2200 мм</t>
  </si>
  <si>
    <t>Страт-стойка двойная 41х21, длинной 2300 мм</t>
  </si>
  <si>
    <t>Страт-стойка двойная 41х21, длинной 2400 мм</t>
  </si>
  <si>
    <t>Страт-стойка двойная 41х21, длинной 2500 мм</t>
  </si>
  <si>
    <t>Страт-стойка двойная 41х21, длинной 2600 мм</t>
  </si>
  <si>
    <t>Страт-стойка двойная 41х21, длинной 2700 мм</t>
  </si>
  <si>
    <t>Страт-стойка двойная 41х21, длинной 2800 мм</t>
  </si>
  <si>
    <t>Страт-стойка двойная 41х21, длинной 2900 мм</t>
  </si>
  <si>
    <t>Страт-стойка двойная 41х21, длинной 3000 мм</t>
  </si>
  <si>
    <t>Страт-стойка 41х41, длинной 200 мм</t>
  </si>
  <si>
    <t>Страт-стойка 41х41, длинной 300 мм</t>
  </si>
  <si>
    <t>Страт-стойка 41х41, длинной 400 мм</t>
  </si>
  <si>
    <t>Страт-стойка 41х41, длинной 500 мм</t>
  </si>
  <si>
    <t>Страт-стойка 41х41, длинной 600 мм</t>
  </si>
  <si>
    <t>Страт-стойка 41х41, длинной 700 мм</t>
  </si>
  <si>
    <t>Страт-стойка 41х41, длинной 800 мм</t>
  </si>
  <si>
    <t>Страт-стойка 41х41, длинной 900 мм</t>
  </si>
  <si>
    <t>Страт-стойка 41х41, длинной 1000 мм</t>
  </si>
  <si>
    <t>Страт-стойка 41х41, длинной 1100 мм</t>
  </si>
  <si>
    <t>Страт-стойка 41х41, длинной 1200 мм</t>
  </si>
  <si>
    <t>Страт-стойка 41х41, длинной 1300 мм</t>
  </si>
  <si>
    <t>Страт-стойка 41х41, длинной 1400 мм</t>
  </si>
  <si>
    <t>Страт-стойка 41х41, длинной 1500 мм</t>
  </si>
  <si>
    <t>Страт-стойка 41х41, длинной 1600 мм</t>
  </si>
  <si>
    <t>Страт-стойка 41х41, длинной 1700 мм</t>
  </si>
  <si>
    <t>Страт-стойка 41х41, длинной 1800 мм</t>
  </si>
  <si>
    <t>Страт-стойка 41х41, длинной 1900 мм</t>
  </si>
  <si>
    <t>Страт-стойка 41х41, длинной 2000 мм</t>
  </si>
  <si>
    <t>Страт-стойка 41х41, длинной 2100 мм</t>
  </si>
  <si>
    <t>Страт-стойка 41х41, длинной 2200 мм</t>
  </si>
  <si>
    <t>Страт-стойка 41х41, длинной 2300 мм</t>
  </si>
  <si>
    <t>Страт-стойка 41х41, длинной 2400 мм</t>
  </si>
  <si>
    <t>Страт-стойка 41х41, длинной 2500 мм</t>
  </si>
  <si>
    <t>Страт-стойка 41х41, длинной 2600 мм</t>
  </si>
  <si>
    <t>Страт-стойка 41х41, длинной 2700 мм</t>
  </si>
  <si>
    <t>Страт-стойка 41х41, длинной 2800 мм</t>
  </si>
  <si>
    <t>Страт-стойка 41х41, длинной 2900 мм</t>
  </si>
  <si>
    <t>Страт-стойка 41х41, длинной 3000 мм</t>
  </si>
  <si>
    <t>Страт-стойка двойная 41х41, длинной 200 мм</t>
  </si>
  <si>
    <t>Страт-стойка двойная 41х41, длинной 300 мм</t>
  </si>
  <si>
    <t>Страт-стойка двойная 41х41, длинной 400 мм</t>
  </si>
  <si>
    <t>Страт-стойка двойная 41х41, длинной 500 мм</t>
  </si>
  <si>
    <t>Страт-стойка двойная 41х41, длинной 600 мм</t>
  </si>
  <si>
    <t>Страт-стойка двойная 41х41, длинной 700 мм</t>
  </si>
  <si>
    <t>Страт-стойка двойная 41х41, длинной 800 мм</t>
  </si>
  <si>
    <t>Страт-стойка двойная 41х41, длинной 900 мм</t>
  </si>
  <si>
    <t>Страт-стойка двойная 41х41, длинной 1000 мм</t>
  </si>
  <si>
    <t>Страт-стойка двойная 41х41, длинной 1100 мм</t>
  </si>
  <si>
    <t>Страт-стойка двойная 41х41, длинной 1200 мм</t>
  </si>
  <si>
    <t>Страт-стойка двойная 41х41, длинной 1300 мм</t>
  </si>
  <si>
    <t>Страт-стойка двойная 41х41, длинной 1400 мм</t>
  </si>
  <si>
    <t>Страт-стойка двойная 41х41, длинной 1500 мм</t>
  </si>
  <si>
    <t>Страт-стойка двойная 41х41, длинной 1600 мм</t>
  </si>
  <si>
    <t>Страт-стойка двойная 41х41, длинной 1700 мм</t>
  </si>
  <si>
    <t>Страт-стойка двойная 41х41, длинной 1800 мм</t>
  </si>
  <si>
    <t>Страт-стойка двойная 41х41, длинной 1900 мм</t>
  </si>
  <si>
    <t>Страт-стойка двойная 41х41, длинной 2000 мм</t>
  </si>
  <si>
    <t>Страт-стойка двойная 41х41, длинной 2100 мм</t>
  </si>
  <si>
    <t>Страт-стойка двойная 41х41, длинной 2200 мм</t>
  </si>
  <si>
    <t>Страт-стойка двойная 41х41, длинной 2300 мм</t>
  </si>
  <si>
    <t>Страт-стойка двойная 41х41, длинной 2400 мм</t>
  </si>
  <si>
    <t>Страт-стойка двойная 41х41, длинной 2500 мм</t>
  </si>
  <si>
    <t>Страт-стойка двойная 41х41, длинной 2600 мм</t>
  </si>
  <si>
    <t>Страт-стойка двойная 41х41, длинной 2700 мм</t>
  </si>
  <si>
    <t>Страт-стойка двойная 41х41, длинной 2800 мм</t>
  </si>
  <si>
    <t>Страт-стойка двойная 41х41, длинной 2900 мм</t>
  </si>
  <si>
    <t>Страт-стойка двойная 41х41, длинной 3000 мм</t>
  </si>
  <si>
    <t>Страт-стойка 41х21</t>
  </si>
  <si>
    <t>Страт-стойка двойная 41х21</t>
  </si>
  <si>
    <t>Страт-стойка 41х41</t>
  </si>
  <si>
    <t>Страт-стойка двойная 41х41</t>
  </si>
  <si>
    <t>Страт-консоль 41х21мм, осн 100 мм</t>
  </si>
  <si>
    <t>Страт-консоль 41х21мм, осн 150 мм</t>
  </si>
  <si>
    <t>Страт-консоль 41х21мм, осн 200 мм</t>
  </si>
  <si>
    <t>Страт-консоль 41х21мм, осн 250 мм</t>
  </si>
  <si>
    <t>Страт-консоль 41х21мм, осн 300 мм</t>
  </si>
  <si>
    <t>Страт-консоль 41х21мм, осн 350 мм</t>
  </si>
  <si>
    <t>Страт-консоль 41х21мм, осн 400 мм</t>
  </si>
  <si>
    <t>Страт-консоль 41х21мм, осн 450 мм</t>
  </si>
  <si>
    <t>Страт-консоль 41х21мм, осн 500 мм</t>
  </si>
  <si>
    <t>Страт-консоль 41х21мм, осн 550 мм</t>
  </si>
  <si>
    <t>Страт-консоль 41х21мм, осн 600 мм</t>
  </si>
  <si>
    <t>Страт-консоль 41х21мм, осн 650 мм</t>
  </si>
  <si>
    <t>Страт-консоль 41х21мм, осн 700 мм</t>
  </si>
  <si>
    <t>Страт-консоль 41х21мм, осн 750 мм</t>
  </si>
  <si>
    <t>Страт-консоль 41х21мм, осн 800 мм</t>
  </si>
  <si>
    <t>Страт-консоль 41х21мм, осн 850 мм</t>
  </si>
  <si>
    <t>Страт-консоль 41х21мм, осн 900 мм</t>
  </si>
  <si>
    <t>Страт-консоль двойная 41х21мм, осн 200 мм</t>
  </si>
  <si>
    <t>Страт-консоль двойная 41х21мм, осн 250 мм</t>
  </si>
  <si>
    <t>Страт-консоль двойная 41х21мм, осн 300 мм</t>
  </si>
  <si>
    <t>Страт-консоль двойная 41х21мм, осн 350 мм</t>
  </si>
  <si>
    <t>Страт-консоль двойная 41х21мм, осн 400 мм</t>
  </si>
  <si>
    <t>Страт-консоль двойная 41х21мм, осн 450 мм</t>
  </si>
  <si>
    <t>Страт-консоль двойная 41х21мм, осн 500 мм</t>
  </si>
  <si>
    <t>Страт-консоль двойная 41х21мм, осн 550 мм</t>
  </si>
  <si>
    <t>Страт-консоль двойная 41х21мм, осн 600 мм</t>
  </si>
  <si>
    <t>Страт-консоль двойная 41х21мм, осн 650 мм</t>
  </si>
  <si>
    <t>Страт-консоль двойная 41х21мм, осн 700 мм</t>
  </si>
  <si>
    <t>Страт-консоль двойная 41х21мм, осн 750 мм</t>
  </si>
  <si>
    <t>Страт-консоль двойная 41х21мм, осн 800 мм</t>
  </si>
  <si>
    <t>Страт-консоль двойная 41х21мм, осн 850 мм</t>
  </si>
  <si>
    <t>Страт-консоль двойная 41х21мм, осн 900 мм</t>
  </si>
  <si>
    <t>Страт-консоль 41х41мм, осн 100 мм</t>
  </si>
  <si>
    <t>Страт-консоль 41х41мм, осн 150 мм</t>
  </si>
  <si>
    <t>Страт-консоль 41х41мм, осн 200 мм</t>
  </si>
  <si>
    <t>Страт-консоль 41х41мм, осн 250 мм</t>
  </si>
  <si>
    <t>Страт-консоль 41х41мм, осн 300 мм</t>
  </si>
  <si>
    <t>Страт-консоль 41х41мм, осн 350 мм</t>
  </si>
  <si>
    <t>Страт-консоль 41х41мм, осн 400 мм</t>
  </si>
  <si>
    <t>Страт-консоль 41х41мм, осн 450 мм</t>
  </si>
  <si>
    <t>Страт-консоль 41х41мм, осн 500 мм</t>
  </si>
  <si>
    <t>Страт-консоль 41х41мм, осн 550 мм</t>
  </si>
  <si>
    <t>Страт-консоль 41х41мм, осн 600 мм</t>
  </si>
  <si>
    <t>Страт-консоль 41х41мм, осн 650 мм</t>
  </si>
  <si>
    <t>Страт-консоль 41х41мм, осн 700 мм</t>
  </si>
  <si>
    <t>Страт-консоль 41х41мм, осн 750 мм</t>
  </si>
  <si>
    <t>Страт-консоль 41х41мм, осн 800 мм</t>
  </si>
  <si>
    <t>Страт-консоль 41х41мм, осн 850 мм</t>
  </si>
  <si>
    <t>Страт-консоль 41х41мм, осн 900 мм</t>
  </si>
  <si>
    <t>Страт-консоль двойная 41х41мм, осн 200 мм</t>
  </si>
  <si>
    <t>Страт-консоль двойная 41х41мм, осн 250 мм</t>
  </si>
  <si>
    <t>Страт-консоль двойная 41х41мм, осн 300 мм</t>
  </si>
  <si>
    <t>Страт-консоль двойная 41х41мм, осн 350 мм</t>
  </si>
  <si>
    <t>Страт-консоль двойная 41х41мм, осн 400 мм</t>
  </si>
  <si>
    <t>Страт-консоль двойная 41х41мм, осн 450 мм</t>
  </si>
  <si>
    <t>Страт-консоль двойная 41х41мм, осн 500 мм</t>
  </si>
  <si>
    <t>Страт-консоль двойная 41х41мм, осн 550 мм</t>
  </si>
  <si>
    <t>Страт-консоль двойная 41х41мм, осн 600 мм</t>
  </si>
  <si>
    <t>Страт-консоль двойная 41х41мм, осн 650 мм</t>
  </si>
  <si>
    <t>Страт-консоль двойная 41х41мм, осн 700 мм</t>
  </si>
  <si>
    <t>Страт-консоль двойная 41х41мм, осн 750 мм</t>
  </si>
  <si>
    <t>Страт-консоль двойная 41х41мм, осн 800 мм</t>
  </si>
  <si>
    <t>Страт-консоль двойная 41х41мм, осн 850 мм</t>
  </si>
  <si>
    <t>Страт-консоль двойная 41х41мм, осн 900 мм</t>
  </si>
  <si>
    <t>Страт-консоль 41х21</t>
  </si>
  <si>
    <t>Страт-консоль двойная 41х21</t>
  </si>
  <si>
    <t>Страт-консоль 41х41</t>
  </si>
  <si>
    <t>Страт-консоль двойная 41х41</t>
  </si>
  <si>
    <t>Цена холодное цинкование, ед/руб</t>
  </si>
  <si>
    <t>Страт-подвес одинарный для сборной потолочной стойки</t>
  </si>
  <si>
    <t>Страт-подвес одинарный с узкой пяткой для сборной потолочной стойки</t>
  </si>
  <si>
    <t>Страт-подвес двойной для сборной потолочной стойки</t>
  </si>
  <si>
    <t>Пластина угловая 90' 2 отв.</t>
  </si>
  <si>
    <t>Пластина угловая 90' 3 отв.</t>
  </si>
  <si>
    <t>Пластина угловая 90' 4 отв.</t>
  </si>
  <si>
    <t>Пластина угловая 45' 4 отв.</t>
  </si>
  <si>
    <t>Пластина угловая 135' 4 отв.</t>
  </si>
  <si>
    <t>Балочный прижим 1</t>
  </si>
  <si>
    <t>Балочный прижим 2</t>
  </si>
  <si>
    <t>Балочный прижим 3</t>
  </si>
  <si>
    <t>Пластина П-образная 3 отв. под профиль 41х21</t>
  </si>
  <si>
    <t>Пластина П-образная 5 отв. под профиль 41х41</t>
  </si>
  <si>
    <t>Пластина П-образная 6 отв. под двойной профиль 41х41</t>
  </si>
  <si>
    <t>Платсина Z-образгная 2 отв.</t>
  </si>
  <si>
    <t>Платсина Z-образгная 3 отв.</t>
  </si>
  <si>
    <t>Платсина Z-образгная 4 отв.</t>
  </si>
  <si>
    <t>Пластина L-образная 3 отв.</t>
  </si>
  <si>
    <t>Пластина Т-образная 4 отв.</t>
  </si>
  <si>
    <t>Пластина Т-образная 45'</t>
  </si>
  <si>
    <t>Пластина Х-образная 5 отв.</t>
  </si>
  <si>
    <t>Пластина поворотная малая</t>
  </si>
  <si>
    <t>Соединитель внутренний 41х21</t>
  </si>
  <si>
    <t>Соединитель внутренний 41х41</t>
  </si>
  <si>
    <t>Соединитель внешний 41х21</t>
  </si>
  <si>
    <t>Соединитель внешний 41х41</t>
  </si>
  <si>
    <t>Страт-гайка М6</t>
  </si>
  <si>
    <t>Страт-гайка М8</t>
  </si>
  <si>
    <t>Страт-гайка М10</t>
  </si>
  <si>
    <t>Страт-гайка М12</t>
  </si>
  <si>
    <t xml:space="preserve">УТГ/ОТГ Ответвитель T-образный горизонтальный  </t>
  </si>
  <si>
    <t>Перфолента для вентиляции (бухта 25м)</t>
  </si>
  <si>
    <t>Перфолента для монтажа (бухта 10м)</t>
  </si>
  <si>
    <t>Анкер болт с гайкой 6х75 мм</t>
  </si>
  <si>
    <t>Анкер болт с гайкой 10х97 мм</t>
  </si>
  <si>
    <t>Анкер болт с гайкой 12х100 мм</t>
  </si>
  <si>
    <t xml:space="preserve">KУТГ/КОТГ Крышка Т-образного ответвителя </t>
  </si>
  <si>
    <t>НЛ-СП 50 соединитель переходной H50</t>
  </si>
  <si>
    <t>НЛ-СП 80 соединитель переходной H80</t>
  </si>
  <si>
    <t>НЛ-СП 100 соединитель переходной H100</t>
  </si>
  <si>
    <t>НЛ-СП 150 соединитель переходной H150</t>
  </si>
  <si>
    <t>НЛ-СП 200 соединитель переходной H200</t>
  </si>
  <si>
    <t>Пластина с одним отверстием</t>
  </si>
  <si>
    <t>Пластина с двумя отверстиями</t>
  </si>
  <si>
    <t>Пластина с тремя отверстиями</t>
  </si>
  <si>
    <t>Пластина с четырьмя отверстиями</t>
  </si>
  <si>
    <t>Пластина с пятью отверстиями</t>
  </si>
  <si>
    <t>К1158 Основание одиночной полки</t>
  </si>
  <si>
    <t>Профиль С-образный</t>
  </si>
  <si>
    <t>К108 Профиль С-образный 40х20х10</t>
  </si>
  <si>
    <t>К110 Профиль С-образный 80х40х20</t>
  </si>
  <si>
    <t>ТИП</t>
  </si>
  <si>
    <t xml:space="preserve">Цена </t>
  </si>
  <si>
    <t>Высот L, мм</t>
  </si>
  <si>
    <t xml:space="preserve">Ширина, B мм  </t>
  </si>
  <si>
    <t>Глубина, H мм</t>
  </si>
  <si>
    <t>навесной</t>
  </si>
  <si>
    <t>закрытый</t>
  </si>
  <si>
    <t>открытый</t>
  </si>
  <si>
    <t>встроенный</t>
  </si>
  <si>
    <t>ШПК-310Н</t>
  </si>
  <si>
    <t>ШПК-310В</t>
  </si>
  <si>
    <t>ШПК-315Н</t>
  </si>
  <si>
    <t>ШПК-315В</t>
  </si>
  <si>
    <t>ШПК-320Н</t>
  </si>
  <si>
    <t>ШПК-320В</t>
  </si>
  <si>
    <t>11. Крепеж</t>
  </si>
  <si>
    <t>7. Аксессуары (углы,повороты)</t>
  </si>
  <si>
    <t>ККБ-П-0,65/0,4-1</t>
  </si>
  <si>
    <t>ККБ-П-0,65/0,4-2</t>
  </si>
  <si>
    <t>ККБ-П-0,65/0,6-1</t>
  </si>
  <si>
    <t>ККБ-П-0,65/0,6-2</t>
  </si>
  <si>
    <t>ККБ-П-0,95/0,6-1</t>
  </si>
  <si>
    <t>ККБ-П-0,95/0,6-2</t>
  </si>
  <si>
    <t>ККБ-УВ-0,65/0,4</t>
  </si>
  <si>
    <t>ККБ-УВ-0,65/0,6</t>
  </si>
  <si>
    <t>ККБ-УВ-0,95/0,6</t>
  </si>
  <si>
    <t>ККБ-УН-0,65/0,4</t>
  </si>
  <si>
    <t>ККБ-УН-0,65/0,6</t>
  </si>
  <si>
    <t>ККБ-УН-0,95/0,6</t>
  </si>
  <si>
    <t>ККБ-УГВ-0,65/0,4</t>
  </si>
  <si>
    <t>ККБ-УГВ-0,65/0,6</t>
  </si>
  <si>
    <t>ККБ-УГВ-0,95/0,6</t>
  </si>
  <si>
    <t>ККБ-УГН-0,65/0,4</t>
  </si>
  <si>
    <t>ККБ-УГН-0,65/0,6</t>
  </si>
  <si>
    <t>ККБ-УГН-0,95/0,6</t>
  </si>
  <si>
    <t>ККБ-ПО-0,2/0,5-1</t>
  </si>
  <si>
    <t>ККБ-ПО-0,2/0,5-2</t>
  </si>
  <si>
    <t>ККБ-УВП-0,2/0,5</t>
  </si>
  <si>
    <t>ККБ-УНП-0,2/0,5</t>
  </si>
  <si>
    <t>ККБ-УГП-0,2/0,5</t>
  </si>
  <si>
    <t>ККБ-3ПО-0,2/0,5-1</t>
  </si>
  <si>
    <t>ККБ-3ПО-0,2/0,5-2</t>
  </si>
  <si>
    <t>ККБ-3УВП-0,2/0,5</t>
  </si>
  <si>
    <t>ККБ-3УНП-0,2/0,5</t>
  </si>
  <si>
    <t>ККБ-3УГП-0,2/0,5</t>
  </si>
  <si>
    <t xml:space="preserve"> Zn (цинк),ед/руб</t>
  </si>
  <si>
    <t>HDZ (гор. Цинк), ед/руб</t>
  </si>
  <si>
    <t xml:space="preserve">Короб кабельный блочный ККБ (рама, фланцы 50х5), толщина обшивки S=2,0  </t>
  </si>
  <si>
    <t>Лакокрасочное покрытие, ед/руб</t>
  </si>
  <si>
    <t xml:space="preserve">Короб кабельный блочный ККБ (рама, фланцы 50х5), толщина обшивки S=1,5  </t>
  </si>
  <si>
    <t>3. Лестничный лоток</t>
  </si>
  <si>
    <t>4. Проволочный лоток</t>
  </si>
  <si>
    <t>5. Крышка лотка</t>
  </si>
  <si>
    <t>8. Полки, стойки, ГЭМ</t>
  </si>
  <si>
    <t>9. Системы подвеса</t>
  </si>
  <si>
    <t>12. Страт-Профиль</t>
  </si>
  <si>
    <t>13. Страт-Консоли</t>
  </si>
  <si>
    <t>14. Страт-Стойки</t>
  </si>
  <si>
    <t>15. Страт-монтажные элементы</t>
  </si>
  <si>
    <t>16. Пожарные шкафы</t>
  </si>
  <si>
    <t>Щиты с монтажной панелью IP31</t>
  </si>
  <si>
    <t>Габаритные размеры*, мм</t>
  </si>
  <si>
    <t>Цена S=1,0</t>
  </si>
  <si>
    <t>Цена S=0,7</t>
  </si>
  <si>
    <t>Высот Н, мм</t>
  </si>
  <si>
    <t xml:space="preserve">Ширина, L мм  </t>
  </si>
  <si>
    <t>Глубина, В мм</t>
  </si>
  <si>
    <t>ЩМП 1</t>
  </si>
  <si>
    <t>ЩМП 2</t>
  </si>
  <si>
    <t>ЩМП 3</t>
  </si>
  <si>
    <t>ЩМП 4</t>
  </si>
  <si>
    <t>ЩМП 5</t>
  </si>
  <si>
    <t>ЩМП 6</t>
  </si>
  <si>
    <t>ЩМП 7</t>
  </si>
  <si>
    <t>ЩМП 8</t>
  </si>
  <si>
    <t>ЩМП 9</t>
  </si>
  <si>
    <t>ЩМП 10</t>
  </si>
  <si>
    <t>ЩМП 11</t>
  </si>
  <si>
    <t>ЩМП 12</t>
  </si>
  <si>
    <t>ЩМП 13</t>
  </si>
  <si>
    <t>ЩМП 14</t>
  </si>
  <si>
    <t>ЩМП 15</t>
  </si>
  <si>
    <t>ЩМП 16</t>
  </si>
  <si>
    <t>ЩМП 17</t>
  </si>
  <si>
    <t>ЩМП 18</t>
  </si>
  <si>
    <t>ЩМП 19</t>
  </si>
  <si>
    <t>* - возможно изготовление любых размером</t>
  </si>
  <si>
    <t>Корпус  ЩО-70 (2200х1000х600)</t>
  </si>
  <si>
    <t>Корпус  ЩО-70 (2200х800х600)</t>
  </si>
  <si>
    <t>Корпус  ЩО-70 (2200х600х600)</t>
  </si>
  <si>
    <t>Корпус  ЩО-70 (2200х400х600)</t>
  </si>
  <si>
    <t>Корпус  ЩО-70 (2200х300х600)</t>
  </si>
  <si>
    <t xml:space="preserve">Торуевая панель ЩО-70 </t>
  </si>
  <si>
    <t xml:space="preserve">Корпус  ЩО -70 </t>
  </si>
  <si>
    <t>ВРУ-1</t>
  </si>
  <si>
    <t>Перфолента монтажная 12х0,4</t>
  </si>
  <si>
    <t>Перфолента монтажная 12х0,5</t>
  </si>
  <si>
    <t>Перфолента монтажная 12х0,7</t>
  </si>
  <si>
    <t>Перфолента монтажная 17х0,4</t>
  </si>
  <si>
    <t>Перфолента монтажная 17х0,5</t>
  </si>
  <si>
    <t>Перфолента монтажная 17х0,7</t>
  </si>
  <si>
    <t>Перфолента монтажная 20х0,4</t>
  </si>
  <si>
    <t>Перфолента монтажная 20х0,5</t>
  </si>
  <si>
    <t>Перфолента монтажная 20х0,6</t>
  </si>
  <si>
    <t>Перфолента монтажная 20х0,7</t>
  </si>
  <si>
    <t>Перфолента монтажная 20х1,0</t>
  </si>
  <si>
    <t>Перфолента монтажная 25х0,4</t>
  </si>
  <si>
    <t>Перфолента монтажная 25х0,5</t>
  </si>
  <si>
    <t>Перфолента монтажная 25х0,7</t>
  </si>
  <si>
    <t>Перфолента монтажная 25х1,0</t>
  </si>
  <si>
    <t>Перфолента монтажная усиленная 30x1,5</t>
  </si>
  <si>
    <t>Перфолента монтажная усиленная 40x1,5</t>
  </si>
  <si>
    <t>Перфолента монтажная усиленная 50х1,5</t>
  </si>
  <si>
    <t>Перфолента монтажная усиленная 60х1,5</t>
  </si>
  <si>
    <t>Перфолента монтажная усиленная 80х1,5</t>
  </si>
  <si>
    <t>Перфолента монтажная усиленная 100х1,5</t>
  </si>
  <si>
    <t>Перфолента монтажная усиленная 10x2,0</t>
  </si>
  <si>
    <t>Перфолента монтажная усиленная 20x2,0</t>
  </si>
  <si>
    <t>Перфолента монтажная усиленная 30x2,0</t>
  </si>
  <si>
    <t>Перфолента монтажная усиленная 40x2,0</t>
  </si>
  <si>
    <t>Перфолента монтажная усиленная 50х2,0</t>
  </si>
  <si>
    <t>Перфолента монтажная усиленная 60х2,0</t>
  </si>
  <si>
    <t>Перфолента монтажная усиленная 80х2,0</t>
  </si>
  <si>
    <t>Перфолента монтажная усиленная 100х2,0</t>
  </si>
  <si>
    <t>Перфолента монтажная усиленная 200х2,0</t>
  </si>
  <si>
    <t>УГ 90° 50*35  угол горизонтальный</t>
  </si>
  <si>
    <t>УГ 90° 50*50  угол горизонтальный</t>
  </si>
  <si>
    <t>УГ 90° 50*60  угол горизонтальный</t>
  </si>
  <si>
    <t>УГ 90° 60*40  угол горизонтальный</t>
  </si>
  <si>
    <t>УГ 90° 100*50  угол горизонтальный</t>
  </si>
  <si>
    <t>УГ 90° 100*60  угол горизонтальный</t>
  </si>
  <si>
    <t>УГ 90° 100*65  угол горизонтальный</t>
  </si>
  <si>
    <t>УГ 90° 100*80  угол горизонтальный</t>
  </si>
  <si>
    <t>УГ 90° 100*100  угол горизонтальный</t>
  </si>
  <si>
    <t>УГ 90° 150*50  угол горизонтальный</t>
  </si>
  <si>
    <t>УГ 90° 150*80  угол горизонтальный</t>
  </si>
  <si>
    <t>УГ 90° 150*100  угол горизонтальный</t>
  </si>
  <si>
    <t>УГ 90° 150*150  угол горизонтальный</t>
  </si>
  <si>
    <t>УГ 90° 200*50  угол горизонтальный</t>
  </si>
  <si>
    <t>УГ 90° 200*60  угол горизонтальный</t>
  </si>
  <si>
    <t>УГ 90° 200*65  угол горизонтальный</t>
  </si>
  <si>
    <t>УГ 90° 200*80  угол горизонтальный</t>
  </si>
  <si>
    <t>УГ 90° 200*100  угол горизонтальный</t>
  </si>
  <si>
    <t>УГ 90° 200*150  угол горизонтальный</t>
  </si>
  <si>
    <t>УГ 90° 200*200  угол горизонтальный</t>
  </si>
  <si>
    <t>УГ 90° 250*50  угол горизонтальный</t>
  </si>
  <si>
    <t>УГ 90° 250*80  угол горизонтальный</t>
  </si>
  <si>
    <t>УГ 90° 250*100  угол горизонтальный</t>
  </si>
  <si>
    <t>УГ 90° 250*150  угол горизонтальный</t>
  </si>
  <si>
    <t>УГ 90° 250*200  угол горизонтальный</t>
  </si>
  <si>
    <t>УГ 90° 300*50  угол горизонтальный</t>
  </si>
  <si>
    <t>УГ 90° 300*60  угол горизонтальный</t>
  </si>
  <si>
    <t>УГ 90° 300*65  угол горизонтальный</t>
  </si>
  <si>
    <t>УГ 90° 300*80  угол горизонтальный</t>
  </si>
  <si>
    <t>УГ 90° 300*100  угол горизонтальный</t>
  </si>
  <si>
    <t>УГ 90° 300*150  угол горизонтальный</t>
  </si>
  <si>
    <t>УГ 90° 300*200  угол горизонтальный</t>
  </si>
  <si>
    <t>УГ 90° 400*50  угол горизонтальный</t>
  </si>
  <si>
    <t>УГ 90° 400*60  угол горизонтальный</t>
  </si>
  <si>
    <t>УГ 90° 400*65  угол горизонтальный</t>
  </si>
  <si>
    <t>УГ 90° 400*80  угол горизонтальный</t>
  </si>
  <si>
    <t>УГ 90° 400*100  угол горизонтальный</t>
  </si>
  <si>
    <t>УГ 90° 400*150  угол горизонтальный</t>
  </si>
  <si>
    <t>УГ 90° 400*200  угол горизонтальный</t>
  </si>
  <si>
    <t>УГ 90° 500*50  угол горизонтальный</t>
  </si>
  <si>
    <t>УГ 90° 500*60  угол горизонтальный</t>
  </si>
  <si>
    <t>УГ 90° 500*65  угол горизонтальный</t>
  </si>
  <si>
    <t>УГ 90° 500*80  угол горизонтальный</t>
  </si>
  <si>
    <t>УГ 90° 500*100  угол горизонтальный</t>
  </si>
  <si>
    <t>УГ 90° 500*150  угол горизонтальный</t>
  </si>
  <si>
    <t>УГ 90° 500*200  угол горизонтальный</t>
  </si>
  <si>
    <t xml:space="preserve">КУГ Крышка угла горизонтального 90° </t>
  </si>
  <si>
    <t>КУГ 90°  50  Крышка угла горизонтального</t>
  </si>
  <si>
    <t>КУГ 90°  60  Крышка угла горизонтального</t>
  </si>
  <si>
    <t>КУГ 90°  100  Крышка угла горизонтального</t>
  </si>
  <si>
    <t>КУГ 90°  150  Крышка угла горизонтального</t>
  </si>
  <si>
    <t>КУГ 90°  200  Крышка угла горизонтального</t>
  </si>
  <si>
    <t>КУГ 90°  250  Крышка угла горизонтального</t>
  </si>
  <si>
    <t>КУГ 90°  300  Крышка угла горизонтального</t>
  </si>
  <si>
    <t>КУГ 90°  400  Крышка угла горизонтального</t>
  </si>
  <si>
    <t>КУГ 90°  500  Крышка угла горизонтального</t>
  </si>
  <si>
    <t xml:space="preserve">УВН  угол вертикальный наружний 90° </t>
  </si>
  <si>
    <t>УВН 90° 50*35  угол вертикальный наружний</t>
  </si>
  <si>
    <t>УВН 90° 50*50  угол вертикальный наружний</t>
  </si>
  <si>
    <t>УВН 90° 50*60  угол вертикальный наружний</t>
  </si>
  <si>
    <t>УВН 90° 60*40  угол вертикальный наружний</t>
  </si>
  <si>
    <t>УВН 90° 100*50  угол вертикальный наружний</t>
  </si>
  <si>
    <t>УВН 90° 100*60  угол вертикальный наружний</t>
  </si>
  <si>
    <t>УВН 90° 100*65  угол вертикальный наружний</t>
  </si>
  <si>
    <t>УВН 90° 100*80  угол вертикальный наружний</t>
  </si>
  <si>
    <t>УВН 90° 100*100  угол вертикальный наружний</t>
  </si>
  <si>
    <t>УВН 90° 150*50  угол вертикальный наружний</t>
  </si>
  <si>
    <t>УВН 90° 150*80  угол вертикальный наружний</t>
  </si>
  <si>
    <t>УВН 90° 150*100  угол вертикальный наружний</t>
  </si>
  <si>
    <t>УВН 90° 150*150  угол вертикальный наружний</t>
  </si>
  <si>
    <t>УВН 90° 200*50  угол вертикальный наружний</t>
  </si>
  <si>
    <t>УВН 90° 200*60  угол вертикальный наружний</t>
  </si>
  <si>
    <t>УВН 90° 200*65  угол вертикальный наружний</t>
  </si>
  <si>
    <t>УВН 90° 200*80  угол вертикальный наружний</t>
  </si>
  <si>
    <t>УВН 90° 200*100  угол вертикальный наружний</t>
  </si>
  <si>
    <t>УВН 90° 200*150  угол вертикальный наружний</t>
  </si>
  <si>
    <t>УВН 90° 200*200  угол вертикальный наружний</t>
  </si>
  <si>
    <t>УВН 90° 250*50  угол вертикальный наружний</t>
  </si>
  <si>
    <t>УВН 90° 250*80  угол вертикальный наружний</t>
  </si>
  <si>
    <t>УВН 90° 250*100  угол вертикальный наружний</t>
  </si>
  <si>
    <t>УВН 90° 250*150  угол вертикальный наружний</t>
  </si>
  <si>
    <t>УВН 90° 250*200  угол вертикальный наружний</t>
  </si>
  <si>
    <t>УВН 90° 300*50  угол вертикальный наружний</t>
  </si>
  <si>
    <t>УВН 90° 300*60  угол вертикальный наружний</t>
  </si>
  <si>
    <t>УВН 90° 300*65  угол вертикальный наружний</t>
  </si>
  <si>
    <t>УВН 90° 300*80  угол вертикальный наружний</t>
  </si>
  <si>
    <t>УВН 90° 300*100  угол вертикальный наружний</t>
  </si>
  <si>
    <t>УВН 90° 300*150  угол вертикальный наружний</t>
  </si>
  <si>
    <t>УВН 90° 300*200  угол вертикальный наружний</t>
  </si>
  <si>
    <t>УВН 90° 400*50  угол вертикальный наружний</t>
  </si>
  <si>
    <t>УВН 90° 400*60  угол вертикальный наружний</t>
  </si>
  <si>
    <t>УВН 90° 400*65  угол вертикальный наружний</t>
  </si>
  <si>
    <t>УВН 90° 400*80  угол вертикальный наружний</t>
  </si>
  <si>
    <t>УВН 90° 400*100  угол вертикальный наружний</t>
  </si>
  <si>
    <t>УВН 90° 400*150  угол вертикальный наружний</t>
  </si>
  <si>
    <t>УВН 90° 400*200  угол вертикальный наружний</t>
  </si>
  <si>
    <t>УВН 90° 500*50  угол вертикальный наружний</t>
  </si>
  <si>
    <t>УВН 90° 500*60  угол вертикальный наружний</t>
  </si>
  <si>
    <t>УВН 90° 500*65  угол вертикальный наружний</t>
  </si>
  <si>
    <t>УВН 90° 500*80  угол вертикальный наружний</t>
  </si>
  <si>
    <t>УВН 90° 500*100  угол вертикальный наружний</t>
  </si>
  <si>
    <t>УВН 90° 500*150  угол вертикальный наружний</t>
  </si>
  <si>
    <t>УВН 90° 500*200  угол вертикальный наружний</t>
  </si>
  <si>
    <t xml:space="preserve">КУВН Крышка угла вертикального наружнего 90°  </t>
  </si>
  <si>
    <t>КУВН 90°  50 крышка угла вертикального наружнего</t>
  </si>
  <si>
    <t>КУВН 90°  60 крышка угла вертикального наружнего</t>
  </si>
  <si>
    <t>КУВН 90°  100 крышка угла вертикального наружнего</t>
  </si>
  <si>
    <t>КУВН 90°  150 крышка угла вертикального наружнего</t>
  </si>
  <si>
    <t>КУВН 90°  200 крышка угла вертикального наружнего</t>
  </si>
  <si>
    <t>КУВН 90°  250 крышка угла вертикального наружнего</t>
  </si>
  <si>
    <t>КУВН 90°  300 крышка угла вертикального наружнего</t>
  </si>
  <si>
    <t>КУВН 90°  400 крышка угла вертикального наружнего</t>
  </si>
  <si>
    <t>КУВН 90°  500 крышка угла вертикального наружнего</t>
  </si>
  <si>
    <t xml:space="preserve">УВВ  угол вертикальный внутренний 90°  </t>
  </si>
  <si>
    <t>УВВ 90° 50*35  угол вертикальный внутренний</t>
  </si>
  <si>
    <t>УВВ 90° 50*50   угол вертикальный внутренний</t>
  </si>
  <si>
    <t>УВВ 90° 50*60  угол вертикальный внутренний</t>
  </si>
  <si>
    <t>УВВ 90° 60*40  угол вертикальный внутренний</t>
  </si>
  <si>
    <t>УВВ 90° 100*50  угол вертикальный внутренний</t>
  </si>
  <si>
    <t>УВВ 90° 100*60  угол вертикальный внутренний</t>
  </si>
  <si>
    <t>УВВ 90° 100*65  угол вертикальный внутренний</t>
  </si>
  <si>
    <t>УВВ 90° 100*80  угол вертикальный внутренний</t>
  </si>
  <si>
    <t>УВВ 90° 100*100  угол вертикальный внутренний</t>
  </si>
  <si>
    <t>УВВ 90° 150*50  угол вертикальный внутренний</t>
  </si>
  <si>
    <t>УВВ 90° 150*80  угол вертикальный внутренний</t>
  </si>
  <si>
    <t>УВВ 90° 150*100  угол вертикальный внутренний</t>
  </si>
  <si>
    <t>УВВ 90° 150*150  угол вертикальный внутренний</t>
  </si>
  <si>
    <t>УВВ 90° 200*50  угол вертикальный внутренний</t>
  </si>
  <si>
    <t>УВВ 90° 200*60  угол вертикальный внутренний</t>
  </si>
  <si>
    <t>УВВ 90° 200*65  угол вертикальный внутренний</t>
  </si>
  <si>
    <t>УВВ 90° 200*80  угол вертикальный внутренний</t>
  </si>
  <si>
    <t>УВВ 90° 200*100  угол вертикальный внутренний</t>
  </si>
  <si>
    <t>УВВ 90° 200*150  угол вертикальный внутренний</t>
  </si>
  <si>
    <t>УВВ 90° 200*200  угол вертикальный внутренний</t>
  </si>
  <si>
    <t>УВВ 90° 250*50  угол вертикальный внутренний</t>
  </si>
  <si>
    <t>УВВ 90° 250*80  угол вертикальный внутренний</t>
  </si>
  <si>
    <t>УВВ 90° 250*100  угол вертикальный внутренний</t>
  </si>
  <si>
    <t>УВВ 90° 250*150  угол вертикальный внутренний</t>
  </si>
  <si>
    <t>УВВ 90° 250*200  угол вертикальный внутренний</t>
  </si>
  <si>
    <t>УВВ 90° 300*50  угол вертикальный внутренний</t>
  </si>
  <si>
    <t>УВВ 90° 300*60  угол вертикальный внутренний</t>
  </si>
  <si>
    <t>УВВ 90° 300*65  угол вертикальный внутренний</t>
  </si>
  <si>
    <t>УВВ 90° 300*80  угол вертикальный внутренний</t>
  </si>
  <si>
    <t>УВВ 90° 300*100  угол вертикальный внутренний</t>
  </si>
  <si>
    <t>УВВ 90° 300*150  угол вертикальный внутренний</t>
  </si>
  <si>
    <t>УВВ 90° 300*200  угол вертикальный внутренний</t>
  </si>
  <si>
    <t>УВВ 90° 400*50  угол вертикальный внутренний</t>
  </si>
  <si>
    <t>УВВ 90° 400*60  угол вертикальный внутренний</t>
  </si>
  <si>
    <t>УВВ 90° 400*65  угол вертикальный внутренний</t>
  </si>
  <si>
    <t>УВВ 90° 400*80  угол вертикальный внутренний</t>
  </si>
  <si>
    <t>УВВ 90° 400*100  угол вертикальный внутренний</t>
  </si>
  <si>
    <t>УВВ 90° 400*150  угол вертикальный внутренний</t>
  </si>
  <si>
    <t>УВВ 90° 400*200  угол вертикальный внутренний</t>
  </si>
  <si>
    <t>УВВ 90° 500*50  угол вертикальный внутренний</t>
  </si>
  <si>
    <t>УВВ 90° 500*60  угол вертикальный внутренний</t>
  </si>
  <si>
    <t>УВВ 90° 500*65  угол вертикальный внутренний</t>
  </si>
  <si>
    <t>УВВ 90° 500*80  угол вертикальный внутренний</t>
  </si>
  <si>
    <t>УВВ 90° 500*100  угол вертикальный внутренний</t>
  </si>
  <si>
    <t>УВВ 90° 500*150  угол вертикальный внутренний</t>
  </si>
  <si>
    <t>УВВ 90° 500*200  угол вертикальный внутренний</t>
  </si>
  <si>
    <t xml:space="preserve">КУВВ Крышка угла вертикального внутреннего 90°  </t>
  </si>
  <si>
    <t>КУВВ 90°  50  крышка угла вертикального внутреннего</t>
  </si>
  <si>
    <t>КУВВ 90°  60  крышка угла вертикального внутреннего</t>
  </si>
  <si>
    <t>КУВВ 90°  100  крышка угла вертикального внутреннего</t>
  </si>
  <si>
    <t>КУВВ 90°  150  крышка угла вертикального внутреннего</t>
  </si>
  <si>
    <t>КУВВ 90°  200  крышка угла вертикального внутреннего</t>
  </si>
  <si>
    <t>КУВВ 90°  250  крышка угла вертикального внутреннего</t>
  </si>
  <si>
    <t>КУВВ 90°  300  крышка угла вертикального внутреннего</t>
  </si>
  <si>
    <t>КУВВ 90°  400  крышка угла вертикального внутреннего</t>
  </si>
  <si>
    <t>КУВВ 90°  500  крышка угла вертикального внутреннего</t>
  </si>
  <si>
    <t xml:space="preserve">УГ  угол  угол горизонтальный (горизонтальный) 45° </t>
  </si>
  <si>
    <t>УГ 45° 50*35  угол горизонтальный</t>
  </si>
  <si>
    <t>УГ 45° 50*50  угол горизонтальный</t>
  </si>
  <si>
    <t>УГ 45° 50*60  угол горизонтальный</t>
  </si>
  <si>
    <t>УГ 45° 60*40  угол горизонтальный</t>
  </si>
  <si>
    <t>УГ 45° 100*50  угол горизонтальный</t>
  </si>
  <si>
    <t>УГ 45° 100*60  угол горизонтальный</t>
  </si>
  <si>
    <t>УГ 45° 100*65  угол горизонтальный</t>
  </si>
  <si>
    <t>УГ 45° 100*80  угол горизонтальный</t>
  </si>
  <si>
    <t>УГ 45° 100*100  угол горизонтальный</t>
  </si>
  <si>
    <t>УГ 45° 150*50  угол горизонтальный</t>
  </si>
  <si>
    <t>УГ 45° 150*80  угол горизонтальный</t>
  </si>
  <si>
    <t>УГ 45° 150*100  угол горизонтальный</t>
  </si>
  <si>
    <t>УГ 45° 150*150  угол горизонтальный</t>
  </si>
  <si>
    <t>УГ 45° 200*50  угол горизонтальный</t>
  </si>
  <si>
    <t>УГ 45° 200*60  угол горизонтальный</t>
  </si>
  <si>
    <t>УГ 45° 200*65  угол горизонтальный</t>
  </si>
  <si>
    <t>УГ 45° 200*80  угол горизонтальный</t>
  </si>
  <si>
    <t>УГ 45° 200*100  угол горизонтальный</t>
  </si>
  <si>
    <t>УГ 45° 200*150  угол горизонтальный</t>
  </si>
  <si>
    <t>УГ 45° 200*200  угол горизонтальный</t>
  </si>
  <si>
    <t>УГ 45° 250*50  угол горизонтальный</t>
  </si>
  <si>
    <t>УГ 45° 250*80  угол горизонтальный</t>
  </si>
  <si>
    <t>УГ 45° 250*100  угол горизонтальный</t>
  </si>
  <si>
    <t>УГ 45° 250*150  угол горизонтальный</t>
  </si>
  <si>
    <t>УГ 45° 250*200  угол горизонтальный</t>
  </si>
  <si>
    <t>УГ 45° 300*50  угол горизонтальный</t>
  </si>
  <si>
    <t>УГ 45° 300*60  угол горизонтальный</t>
  </si>
  <si>
    <t>УГ 45° 300*65  угол горизонтальный</t>
  </si>
  <si>
    <t>УГ 45° 300*80  угол горизонтальный</t>
  </si>
  <si>
    <t>УГ 45° 300*100  угол горизонтальный</t>
  </si>
  <si>
    <t>УГ 45° 300*150  угол горизонтальный</t>
  </si>
  <si>
    <t>УГ 45° 300*200  угол горизонтальный</t>
  </si>
  <si>
    <t>УГ 45° 400*50  угол горизонтальный</t>
  </si>
  <si>
    <t>УГ 45° 400*60  угол горизонтальный</t>
  </si>
  <si>
    <t>УГ 45° 400*65  угол горизонтальный</t>
  </si>
  <si>
    <t>УГ 45° 400*80  угол горизонтальный</t>
  </si>
  <si>
    <t>УГ 45° 400*100  угол горизонтальный</t>
  </si>
  <si>
    <t>УГ 45° 400*150  угол горизонтальный</t>
  </si>
  <si>
    <t>УГ 45° 400*200  угол горизонтальный</t>
  </si>
  <si>
    <t>УГ 45° 500*50  угол горизонтальный</t>
  </si>
  <si>
    <t>УГ 45° 500*60  угол горизонтальный</t>
  </si>
  <si>
    <t>УГ 45° 500*65  угол горизонтальный</t>
  </si>
  <si>
    <t>УГ 45° 500*80  угол горизонтальный</t>
  </si>
  <si>
    <t>УГ 45° 500*100  угол горизонтальный</t>
  </si>
  <si>
    <t>УГ 45° 500*150  угол горизонтальный</t>
  </si>
  <si>
    <t>УГ 45° 500*200  угол горизонтальный</t>
  </si>
  <si>
    <t xml:space="preserve">КУГ Крышка угла горизонтального 45°  </t>
  </si>
  <si>
    <t>КУГ 45°  50  Крышка угла горизонтального</t>
  </si>
  <si>
    <t>КУГ 45°  60  Крышка угла горизонтального</t>
  </si>
  <si>
    <t>КУГ 45°  100  Крышка угла горизонтального</t>
  </si>
  <si>
    <t>КУГ 45°  150  Крышка угла горизонтального</t>
  </si>
  <si>
    <t>КУГ 45°  200  Крышка угла горизонтального</t>
  </si>
  <si>
    <t>КУГ 45°  250  Крышка угла горизонтального</t>
  </si>
  <si>
    <t>КУГ 45°  300  Крышка угла горизонтального</t>
  </si>
  <si>
    <t>КУГ 45°  400  Крышка угла горизонтального</t>
  </si>
  <si>
    <t>КУГ 45°  500  Крышка угла горизонтального</t>
  </si>
  <si>
    <t xml:space="preserve">УВН  угол вертикальный наружний 45°  </t>
  </si>
  <si>
    <t>УВН 45° 50*35  угол вертикальный наружний</t>
  </si>
  <si>
    <t>УВН 45° 50*50  угол вертикальный наружний</t>
  </si>
  <si>
    <t>УВН 45° 50*60  угол вертикальный наружний</t>
  </si>
  <si>
    <t>УВН 45° 60*40  угол вертикальный наружний</t>
  </si>
  <si>
    <t>УВН 45° 100*50  угол вертикальный наружний</t>
  </si>
  <si>
    <t>УВН 45° 100*60  угол вертикальный наружний</t>
  </si>
  <si>
    <t>УВН 45° 100*65  угол вертикальный наружний</t>
  </si>
  <si>
    <t>УВН 45° 100*80  угол вертикальный наружний</t>
  </si>
  <si>
    <t>УВН 45° 100*100  угол вертикальный наружний</t>
  </si>
  <si>
    <t>УВН 45° 150*50  угол вертикальный наружний</t>
  </si>
  <si>
    <t>УВН 45° 150*80  угол вертикальный наружний</t>
  </si>
  <si>
    <t>УВН 45° 150*100  угол вертикальный наружний</t>
  </si>
  <si>
    <t>УВН 45° 150*150  угол вертикальный наружний</t>
  </si>
  <si>
    <t>УВН 45° 200*50  угол вертикальный наружний</t>
  </si>
  <si>
    <t>УВН 45° 200*60  угол вертикальный наружний</t>
  </si>
  <si>
    <t>УВН 45° 200*65  угол вертикальный наружний</t>
  </si>
  <si>
    <t>УВН 45° 200*80  угол вертикальный наружний</t>
  </si>
  <si>
    <t>УВН 45° 200*100  угол вертикальный наружний</t>
  </si>
  <si>
    <t>УВН 45° 200*150  угол вертикальный наружний</t>
  </si>
  <si>
    <t>УВН 45° 200*200  угол вертикальный наружний</t>
  </si>
  <si>
    <t>УВН 45° 250*50  угол вертикальный наружний</t>
  </si>
  <si>
    <t>УВН 45° 250*80  угол вертикальный наружний</t>
  </si>
  <si>
    <t>УВН 45° 250*100  угол вертикальный наружний</t>
  </si>
  <si>
    <t>УВН 45° 250*150  угол вертикальный наружний</t>
  </si>
  <si>
    <t>УВН 45° 250*200  угол вертикальный наружний</t>
  </si>
  <si>
    <t>УВН 45° 300*50  угол вертикальный наружний</t>
  </si>
  <si>
    <t>УВН 45° 300*60  угол вертикальный наружний</t>
  </si>
  <si>
    <t>УВН 45° 300*65  угол вертикальный наружний</t>
  </si>
  <si>
    <t>УВН 45° 300*80  угол вертикальный наружний</t>
  </si>
  <si>
    <t>УВН 45° 300*100  угол вертикальный наружний</t>
  </si>
  <si>
    <t>УВН 45° 300*150  угол вертикальный наружний</t>
  </si>
  <si>
    <t>УВН 45° 300*200  угол вертикальный наружний</t>
  </si>
  <si>
    <t>УВН 45° 400*50  угол вертикальный наружний</t>
  </si>
  <si>
    <t>УВН 45° 400*60  угол вертикальный наружний</t>
  </si>
  <si>
    <t>УВН 45° 400*65  угол вертикальный наружний</t>
  </si>
  <si>
    <t>УВН 45° 400*80  угол вертикальный наружний</t>
  </si>
  <si>
    <t>УВН 45° 400*100  угол вертикальный наружний</t>
  </si>
  <si>
    <t>УВН 45° 400*150  угол вертикальный наружний</t>
  </si>
  <si>
    <t>УВН 45° 400*200  угол вертикальный наружний</t>
  </si>
  <si>
    <t>УВН 45° 500*50  угол вертикальный наружний</t>
  </si>
  <si>
    <t>УВН 45° 500*60  угол вертикальный наружний</t>
  </si>
  <si>
    <t>УВН 45° 500*65  угол вертикальный наружний</t>
  </si>
  <si>
    <t>УВН 45° 500*80  угол вертикальный наружний</t>
  </si>
  <si>
    <t>УВН 45° 500*100  угол вертикальный наружний</t>
  </si>
  <si>
    <t>УВН 45° 500*150  угол вертикальный наружний</t>
  </si>
  <si>
    <t>УВН 45° 500*200  угол вертикальный наружний</t>
  </si>
  <si>
    <t xml:space="preserve">КУВН Крышка угла вертикального наружнего 45°  </t>
  </si>
  <si>
    <t>КУВН 45°  50 крышка угла вертикального наружнего</t>
  </si>
  <si>
    <t>КУВН 45°  60 крышка угла вертикального наружнего</t>
  </si>
  <si>
    <t>КУВН 45°  100 крышка угла вертикального наружнего</t>
  </si>
  <si>
    <t>КУВН 45°  150 крышка угла вертикального наружнего</t>
  </si>
  <si>
    <t>КУВН 45°  200 крышка угла вертикального наружнего</t>
  </si>
  <si>
    <t>КУВН 45°  250 крышка угла вертикального наружнего</t>
  </si>
  <si>
    <t>КУВН 45°  300 крышка угла вертикального наружнего</t>
  </si>
  <si>
    <t>КУВН 45°  400 крышка угла вертикального наружнего</t>
  </si>
  <si>
    <t>КУВН 45°  500 крышка угла вертикального наружнего</t>
  </si>
  <si>
    <t xml:space="preserve">УВВ  угол вертикальный внутренний 45°  </t>
  </si>
  <si>
    <t>УВВ 45° 50*35  угол вертикальный внутренний</t>
  </si>
  <si>
    <t>УВВ 45° 50*50  угол вертикальный внутренний</t>
  </si>
  <si>
    <t>УВВ 45° 50*60  угол вертикальный внутренний</t>
  </si>
  <si>
    <t>УВВ 45° 60*40  угол вертикальный внутренний</t>
  </si>
  <si>
    <t>УВВ 45° 100*50  угол вертикальный внутренний</t>
  </si>
  <si>
    <t>УВВ 45° 100*60  угол вертикальный внутренний</t>
  </si>
  <si>
    <t>УВВ 45° 100*65  угол вертикальный внутренний</t>
  </si>
  <si>
    <t>УВВ 45° 100*80  угол вертикальный внутренний</t>
  </si>
  <si>
    <t>УВВ 45° 100*100  угол вертикальный внутренний</t>
  </si>
  <si>
    <t>УВВ 45° 150*50  угол вертикальный внутренний</t>
  </si>
  <si>
    <t>УВВ 45° 150*80  угол вертикальный внутренний</t>
  </si>
  <si>
    <t>УВВ 45° 150*100  угол вертикальный внутренний</t>
  </si>
  <si>
    <t>УВВ 45° 150*150  угол вертикальный внутренний</t>
  </si>
  <si>
    <t>УВВ 45° 200*50  угол вертикальный внутренний</t>
  </si>
  <si>
    <t>УВВ 45° 200*60  угол вертикальный внутренний</t>
  </si>
  <si>
    <t>УВВ 45° 200*65  угол вертикальный внутренний</t>
  </si>
  <si>
    <t>УВВ 45° 200*80  угол вертикальный внутренний</t>
  </si>
  <si>
    <t>УВВ 45° 200*100  угол вертикальный внутренний</t>
  </si>
  <si>
    <t>УВВ 45° 200*150  угол вертикальный внутренний</t>
  </si>
  <si>
    <t>УВВ 45° 200*200  угол вертикальный внутренний</t>
  </si>
  <si>
    <t>УВВ 45° 250*50  угол вертикальный внутренний</t>
  </si>
  <si>
    <t>УВВ 45° 250*80  угол вертикальный внутренний</t>
  </si>
  <si>
    <t>УВВ 45° 250*100  угол вертикальный внутренний</t>
  </si>
  <si>
    <t>УВВ 45° 250*150  угол вертикальный внутренний</t>
  </si>
  <si>
    <t>УВВ 45° 250*200  угол вертикальный внутренний</t>
  </si>
  <si>
    <t>УВВ 45° 300*50  угол вертикальный внутренний</t>
  </si>
  <si>
    <t>УВВ 45° 300*60  угол вертикальный внутренний</t>
  </si>
  <si>
    <t>УВВ 45° 300*65  угол вертикальный внутренний</t>
  </si>
  <si>
    <t>УВВ 45° 300*80  угол вертикальный внутренний</t>
  </si>
  <si>
    <t>УВВ 45° 300*100  угол вертикальный внутренний</t>
  </si>
  <si>
    <t>УВВ 45° 300*150  угол вертикальный внутренний</t>
  </si>
  <si>
    <t>УВВ 45° 300*200  угол вертикальный внутренний</t>
  </si>
  <si>
    <t>УВВ 45° 400*50  угол вертикальный внутренний</t>
  </si>
  <si>
    <t>УВВ 45° 400*60  угол вертикальный внутренний</t>
  </si>
  <si>
    <t>УВВ 45° 400*65  угол вертикальный внутренний</t>
  </si>
  <si>
    <t>УВВ 45° 400*80  угол вертикальный внутренний</t>
  </si>
  <si>
    <t>УВВ 45° 400*100  угол вертикальный внутренний</t>
  </si>
  <si>
    <t>УВВ 45° 400*150  угол вертикальный внутренний</t>
  </si>
  <si>
    <t>УВВ 45° 400*200  угол вертикальный внутренний</t>
  </si>
  <si>
    <t>УВВ 45° 500*50  угол вертикальный внутренний</t>
  </si>
  <si>
    <t>УВВ 45° 500*60  угол вертикальный внутренний</t>
  </si>
  <si>
    <t>УВВ 45° 500*65  угол вертикальный внутренний</t>
  </si>
  <si>
    <t>УВВ 45° 500*80  угол вертикальный внутренний</t>
  </si>
  <si>
    <t>УВВ 45° 500*100  угол вертикальный внутренний</t>
  </si>
  <si>
    <t>УВВ 45° 500*150  угол вертикальный внутренний</t>
  </si>
  <si>
    <t>УВВ 45° 500*200  угол вертикальный внутренний</t>
  </si>
  <si>
    <t xml:space="preserve">КУВВ Крышка угла вертикального внутреннего 45°  </t>
  </si>
  <si>
    <t>КУВВ 45°  50  крышка угла вертикального внутреннего</t>
  </si>
  <si>
    <t>КУВВ 45°  60  крышка угла вертикального внутреннего</t>
  </si>
  <si>
    <t>КУВВ 45°  100  крышка угла вертикального внутреннего</t>
  </si>
  <si>
    <t>КУВВ 45°  150  крышка угла вертикального внутреннего</t>
  </si>
  <si>
    <t>КУВВ 45°  200  крышка угла вертикального внутреннего</t>
  </si>
  <si>
    <t>КУВВ 45°  250  крышка угла вертикального внутреннего</t>
  </si>
  <si>
    <t>КУВВ 45°  300  крышка угла вертикального внутреннего</t>
  </si>
  <si>
    <t>КУВВ 45°  400  крышка угла вертикального внутреннего</t>
  </si>
  <si>
    <t>КУВВ 45°  500  крышка угла вертикального внутреннего</t>
  </si>
  <si>
    <t>KУХГ 50  крышка  Х-образного ответвителя</t>
  </si>
  <si>
    <t>KУХГ 60  крышка  Х-образного ответвителя</t>
  </si>
  <si>
    <t>KУХГ 100  крышка  Х-образного ответвителя</t>
  </si>
  <si>
    <t>KУХГ 200  крышка  Х-образного ответвителя</t>
  </si>
  <si>
    <t>KУХГ 150  крышка  Х-образного ответвителя</t>
  </si>
  <si>
    <t>KУХГ 250  крышка  Х-образного ответвителя</t>
  </si>
  <si>
    <t>KУХГ 300  крышка  Х-образного ответвителя</t>
  </si>
  <si>
    <t>KУХГ 400  крышка  Х-образного ответвителя</t>
  </si>
  <si>
    <t>KУХГ 500  крышка  Х-образного ответвителя</t>
  </si>
  <si>
    <t>РЛ Разделитель лотка (перегородка)</t>
  </si>
  <si>
    <t>Цена указанна за шт</t>
  </si>
  <si>
    <t xml:space="preserve">Угол горизонтальный (горизонтальный) 90° </t>
  </si>
  <si>
    <t>КМ-100 консоль монолитная 100мм</t>
  </si>
  <si>
    <t>КМ-150 консоль монолитная 150мм</t>
  </si>
  <si>
    <t>КМ-200 консоль монолитная 200мм</t>
  </si>
  <si>
    <t>КМ-300 консоль монолитная 300мм</t>
  </si>
  <si>
    <t>КМ-400 консоль монолитная 400мм</t>
  </si>
  <si>
    <t>КМ-500 консоль монолитная 500мм</t>
  </si>
  <si>
    <t>СК 35*30 L100 стойка консольная</t>
  </si>
  <si>
    <t xml:space="preserve">СК 35*30 L120 стойка консольная </t>
  </si>
  <si>
    <t xml:space="preserve">СК 35*30 L200 стойка консольная </t>
  </si>
  <si>
    <t xml:space="preserve">СК 35*30 L250 стойка консольная </t>
  </si>
  <si>
    <t xml:space="preserve">СК 35*30 L300 стойка консольная </t>
  </si>
  <si>
    <t xml:space="preserve">СК 35*30 L400 стойка консольная </t>
  </si>
  <si>
    <t xml:space="preserve">СК 35*30 L500 стойка консольная </t>
  </si>
  <si>
    <t xml:space="preserve">СК 35*30 L600 стойка консольная </t>
  </si>
  <si>
    <t xml:space="preserve">СК 35*30 L700 стойка консольная </t>
  </si>
  <si>
    <t xml:space="preserve">СК 35*30 L800 стойка консольная </t>
  </si>
  <si>
    <t xml:space="preserve">СК 35*30 L900 стойка консольная </t>
  </si>
  <si>
    <t xml:space="preserve">СК 35*30 L1000 стойка консольная </t>
  </si>
  <si>
    <t xml:space="preserve">СК 35*30 L1200 стойка консольная </t>
  </si>
  <si>
    <t xml:space="preserve">СК 35*30 L1400 стойка консольная </t>
  </si>
  <si>
    <t xml:space="preserve">СК 35*30 L1500 стойка консольная </t>
  </si>
  <si>
    <t xml:space="preserve">СК 35*30 L1600 стойка консольная </t>
  </si>
  <si>
    <t xml:space="preserve">СК 35*30 L1800 стойка консольная </t>
  </si>
  <si>
    <t xml:space="preserve">СК 35*30 L2000 стойка консольная </t>
  </si>
  <si>
    <t xml:space="preserve">СК 35*30 L2200 стойка консольная </t>
  </si>
  <si>
    <t xml:space="preserve">СК 35*30 L2400 стойка консольная </t>
  </si>
  <si>
    <t xml:space="preserve">СК 35*30 L2500 стойка консольная </t>
  </si>
  <si>
    <t xml:space="preserve">СК 35*30 L2600 стойка консольная </t>
  </si>
  <si>
    <t xml:space="preserve">СК 35*30 L2800 стойка консольная </t>
  </si>
  <si>
    <t xml:space="preserve">СК 35*30 L3000 стойка консольная </t>
  </si>
  <si>
    <t>СПО 35х30 L400 Стойка потолочная с основанием S=4.0</t>
  </si>
  <si>
    <t>СПО 35х30 L500 Стойка потолочная с основанием S=4.0</t>
  </si>
  <si>
    <t>СПО 35х30 L600 Стойка потолочная с основанием S=4.0</t>
  </si>
  <si>
    <t>СПО 35х30 L800 Стойка потолочная с основанием S=4.0</t>
  </si>
  <si>
    <t>СПО 35х30 L1000 Стойка потолочная с основанием S=4.0</t>
  </si>
  <si>
    <t>СПО 35х30 L1200 Стойка потолочная с основанием S=4.0</t>
  </si>
  <si>
    <t>СПО 35х30 L1400 Стойка потолочная с основанием S=4.0</t>
  </si>
  <si>
    <t>СПО 35х30 L1500 Стойка потолочная с основанием S=4.0</t>
  </si>
  <si>
    <t>СПО 35х30 L1600 Стойка потолочная с основанием S=4.0</t>
  </si>
  <si>
    <t>СПО 35х30 L1800 Стойка потолочная с основанием S=4.0</t>
  </si>
  <si>
    <t>СПО 35х30 L2000 Стойка потолочная с основанием S=4.0</t>
  </si>
  <si>
    <t>СПО 35х30 L2200 Стойка потолочная с основанием S=4.0</t>
  </si>
  <si>
    <t>СПО 35х30 L2400 Стойка потолочная с основанием S=4.0</t>
  </si>
  <si>
    <t>СПО 35х30 L2500 Стойка потолочная с основанием S=4.0</t>
  </si>
  <si>
    <t>СПО 35х30 L2600 Стойка потолочная с основанием S=4.0</t>
  </si>
  <si>
    <t>СПО 35х30 L2800 Стойка потолочная с основанием S=4.0</t>
  </si>
  <si>
    <t>СПО 35х30 L3000 Стойка потолочная с основанием S=4.0</t>
  </si>
  <si>
    <t>СПОД 35х30 L400 Стойка потолочная с основанием двойная S=4.0</t>
  </si>
  <si>
    <t>СПОД 35х30 L500 Стойка потолочная с основанием двойная S=4.0</t>
  </si>
  <si>
    <t>СПОД 35х30 L600 Стойка потолочная с основанием двойная S=4.0</t>
  </si>
  <si>
    <t>СПОД 35х30 L800 Стойка потолочная с основанием двойная S=4.0</t>
  </si>
  <si>
    <t>СПОД 35х30 L1000 Стойка потолочная с основанием двойная S=4.0</t>
  </si>
  <si>
    <t>СПОД 35х30 L1200 Стойка потолочная с основанием двойная S=4.0</t>
  </si>
  <si>
    <t>СПОД 35х30 L1400 Стойка потолочная с основанием двойная S=4.0</t>
  </si>
  <si>
    <t>СПОД 35х30 L1500 Стойка потолочная с основанием двойная S=4.0</t>
  </si>
  <si>
    <t>СПОД 35х30 L1600 Стойка потолочная с основанием двойная S=4.0</t>
  </si>
  <si>
    <t>СПОД 35х30 L1800 Стойка потолочная с основанием двойная S=4.0</t>
  </si>
  <si>
    <t>СПОД 35х30 L2000 Стойка потолочная с основанием двойная S=4.0</t>
  </si>
  <si>
    <t>СПОД 35х30 L2200 Стойка потолочная с основанием двойная S=4.0</t>
  </si>
  <si>
    <t>СПОД 35х30 L2400 Стойка потолочная с основанием двойная S=4.0</t>
  </si>
  <si>
    <t>СПОД 35х30 L2500 Стойка потолочная с основанием двойная S=4.0</t>
  </si>
  <si>
    <t>СПОД 35х30 L2600 Стойка потолочная с основанием двойная S=4.0</t>
  </si>
  <si>
    <t>СПОД 35х30 L2800 Стойка потолочная с основанием двойная S=4.0</t>
  </si>
  <si>
    <t>СПОД 35х30 L3000 Стойка потолочная с основанием двойная S=4.0</t>
  </si>
  <si>
    <t xml:space="preserve"> Толщина,AISI (нерж)</t>
  </si>
  <si>
    <t>Цена Zn (цинк), ед/руб</t>
  </si>
  <si>
    <t>Цена HDZ (гор.цинк), ед/руб</t>
  </si>
  <si>
    <r>
      <t xml:space="preserve">красный </t>
    </r>
    <r>
      <rPr>
        <b/>
        <sz val="11"/>
        <rFont val="Calibri"/>
        <family val="2"/>
        <charset val="204"/>
        <scheme val="minor"/>
      </rPr>
      <t>НЗК</t>
    </r>
    <r>
      <rPr>
        <sz val="11"/>
        <rFont val="Calibri"/>
        <family val="2"/>
        <charset val="204"/>
        <scheme val="minor"/>
      </rPr>
      <t xml:space="preserve"> / белый </t>
    </r>
    <r>
      <rPr>
        <b/>
        <sz val="11"/>
        <rFont val="Calibri"/>
        <family val="2"/>
        <charset val="204"/>
        <scheme val="minor"/>
      </rPr>
      <t>НЗБ</t>
    </r>
  </si>
  <si>
    <r>
      <t xml:space="preserve">красный </t>
    </r>
    <r>
      <rPr>
        <b/>
        <sz val="11"/>
        <rFont val="Calibri"/>
        <family val="2"/>
        <charset val="204"/>
        <scheme val="minor"/>
      </rPr>
      <t>НОК</t>
    </r>
    <r>
      <rPr>
        <sz val="11"/>
        <rFont val="Calibri"/>
        <family val="2"/>
        <charset val="204"/>
        <scheme val="minor"/>
      </rPr>
      <t xml:space="preserve"> / белый </t>
    </r>
    <r>
      <rPr>
        <b/>
        <sz val="11"/>
        <rFont val="Calibri"/>
        <family val="2"/>
        <charset val="204"/>
        <scheme val="minor"/>
      </rPr>
      <t>НОБ</t>
    </r>
  </si>
  <si>
    <t>2. Лоток неперфорированный</t>
  </si>
  <si>
    <t>6. Профиль U, Z, L</t>
  </si>
  <si>
    <t>18. Трубы для защиты кабеля</t>
  </si>
  <si>
    <t xml:space="preserve">ЛП 600х150  </t>
  </si>
  <si>
    <t xml:space="preserve">ЛП 500х200  </t>
  </si>
  <si>
    <t xml:space="preserve">ЛП 500х150  </t>
  </si>
  <si>
    <t xml:space="preserve">ЛП 500х60  </t>
  </si>
  <si>
    <t xml:space="preserve">ЛП 500х50  </t>
  </si>
  <si>
    <t xml:space="preserve">ЛП 400х200  </t>
  </si>
  <si>
    <t xml:space="preserve">ЛП 400х80  </t>
  </si>
  <si>
    <t xml:space="preserve">ЛП 400х65  </t>
  </si>
  <si>
    <t xml:space="preserve">ЛП 100х80  </t>
  </si>
  <si>
    <t xml:space="preserve">ЛП 100х100  </t>
  </si>
  <si>
    <t xml:space="preserve">ЛП 400х60  </t>
  </si>
  <si>
    <t xml:space="preserve">ЛП 400х50  </t>
  </si>
  <si>
    <t xml:space="preserve">ЛП 300х200  </t>
  </si>
  <si>
    <t xml:space="preserve">ЛП 300х150  </t>
  </si>
  <si>
    <t xml:space="preserve">ЛП 300х100  </t>
  </si>
  <si>
    <t xml:space="preserve">ЛП 300х80  </t>
  </si>
  <si>
    <t xml:space="preserve">ЛП 300х65  </t>
  </si>
  <si>
    <t xml:space="preserve">ЛП 300х60  </t>
  </si>
  <si>
    <t xml:space="preserve">ЛП 300х50  </t>
  </si>
  <si>
    <t xml:space="preserve">ЛП 250х100  </t>
  </si>
  <si>
    <t xml:space="preserve">ЛП 250х80  </t>
  </si>
  <si>
    <t xml:space="preserve">ЛП 250х50  </t>
  </si>
  <si>
    <t xml:space="preserve">ЛП 200х200  </t>
  </si>
  <si>
    <t xml:space="preserve">ЛП 200х150  </t>
  </si>
  <si>
    <t xml:space="preserve">ЛП 200х100  </t>
  </si>
  <si>
    <t xml:space="preserve">ЛП 200х80  </t>
  </si>
  <si>
    <t xml:space="preserve">ЛП 200х65  </t>
  </si>
  <si>
    <t xml:space="preserve">ЛП 200х60  </t>
  </si>
  <si>
    <t xml:space="preserve">ЛП 200х50  </t>
  </si>
  <si>
    <t xml:space="preserve">ЛП 200х35  </t>
  </si>
  <si>
    <t xml:space="preserve">ЛП 150х150  </t>
  </si>
  <si>
    <t xml:space="preserve">ЛП 150х35  </t>
  </si>
  <si>
    <t xml:space="preserve">ЛП 150х50  </t>
  </si>
  <si>
    <t xml:space="preserve">ЛП 150х80  </t>
  </si>
  <si>
    <t xml:space="preserve">ЛП 150х100  </t>
  </si>
  <si>
    <t>Цена указанна за пог.м с НДС</t>
  </si>
  <si>
    <t xml:space="preserve">ЛП 100х60  </t>
  </si>
  <si>
    <t xml:space="preserve">ЛП 100х65  </t>
  </si>
  <si>
    <t xml:space="preserve">ЛП 100х35  </t>
  </si>
  <si>
    <t xml:space="preserve">ЛП 100х50  </t>
  </si>
  <si>
    <t xml:space="preserve">ЛП 60х60  </t>
  </si>
  <si>
    <t xml:space="preserve">ЛП 60х40  </t>
  </si>
  <si>
    <t xml:space="preserve">ЛП 50х50  </t>
  </si>
  <si>
    <t xml:space="preserve">ЛП 50х35 </t>
  </si>
  <si>
    <t xml:space="preserve"> ЛП 400х100  </t>
  </si>
  <si>
    <t xml:space="preserve"> ЛП 400х150  </t>
  </si>
  <si>
    <t xml:space="preserve"> ЛП 500х65  </t>
  </si>
  <si>
    <t xml:space="preserve"> ЛП 500х80  </t>
  </si>
  <si>
    <t xml:space="preserve"> ЛП 500х100  </t>
  </si>
  <si>
    <t xml:space="preserve"> ЛП 600х50  </t>
  </si>
  <si>
    <t xml:space="preserve"> ЛП 600х80  </t>
  </si>
  <si>
    <t xml:space="preserve"> ЛП 600х100  </t>
  </si>
  <si>
    <t xml:space="preserve"> ЛП 600х200  </t>
  </si>
  <si>
    <t xml:space="preserve">ЛГ 50х35 </t>
  </si>
  <si>
    <t xml:space="preserve">ЛГ 50х50  </t>
  </si>
  <si>
    <t xml:space="preserve">ЛГ 60х60  </t>
  </si>
  <si>
    <t xml:space="preserve">ЛГ 60х40  </t>
  </si>
  <si>
    <t xml:space="preserve">ЛГ 100х50  </t>
  </si>
  <si>
    <t xml:space="preserve">ЛГ 100х35  </t>
  </si>
  <si>
    <t xml:space="preserve">ЛГ 100х60  </t>
  </si>
  <si>
    <t xml:space="preserve">ЛГ 100х65  </t>
  </si>
  <si>
    <t xml:space="preserve">ЛГ 100х80  </t>
  </si>
  <si>
    <t xml:space="preserve">ЛГ 100х100  </t>
  </si>
  <si>
    <t xml:space="preserve">ЛГ 150х35  </t>
  </si>
  <si>
    <t xml:space="preserve">ЛГ 150х50  </t>
  </si>
  <si>
    <t xml:space="preserve">ЛГ 150х80  </t>
  </si>
  <si>
    <t xml:space="preserve">ЛГ 150х100  </t>
  </si>
  <si>
    <t xml:space="preserve">ЛГ 150х150  </t>
  </si>
  <si>
    <t xml:space="preserve">ЛГ 200х35  </t>
  </si>
  <si>
    <t xml:space="preserve">ЛГ 200х50  </t>
  </si>
  <si>
    <t xml:space="preserve">ЛГ 200х60  </t>
  </si>
  <si>
    <t xml:space="preserve">ЛГ 200х65  </t>
  </si>
  <si>
    <t xml:space="preserve">ЛГ 200х80  </t>
  </si>
  <si>
    <t xml:space="preserve">ЛГ 200х100  </t>
  </si>
  <si>
    <t xml:space="preserve">ЛГ 200х150  </t>
  </si>
  <si>
    <t xml:space="preserve">ЛГ 200х200  </t>
  </si>
  <si>
    <t xml:space="preserve">ЛГ 250х50  </t>
  </si>
  <si>
    <t xml:space="preserve">ЛГ 250х80  </t>
  </si>
  <si>
    <t xml:space="preserve">ЛГ 250х100  </t>
  </si>
  <si>
    <t xml:space="preserve">ЛГ 300х50  </t>
  </si>
  <si>
    <t xml:space="preserve">ЛГ 300х60  </t>
  </si>
  <si>
    <t xml:space="preserve">ЛГ 300х65  </t>
  </si>
  <si>
    <t xml:space="preserve">ЛГ 300х80  </t>
  </si>
  <si>
    <t xml:space="preserve">ЛГ 300х100  </t>
  </si>
  <si>
    <t xml:space="preserve">ЛГ 300х150  </t>
  </si>
  <si>
    <t xml:space="preserve">ЛГ 300х200  </t>
  </si>
  <si>
    <t xml:space="preserve">ЛГ 400х50  </t>
  </si>
  <si>
    <t xml:space="preserve">ЛГ 400х60  </t>
  </si>
  <si>
    <t xml:space="preserve">ЛГ 400х80  </t>
  </si>
  <si>
    <t xml:space="preserve"> ЛГ 400х100  </t>
  </si>
  <si>
    <t xml:space="preserve"> ЛГ 400х150  </t>
  </si>
  <si>
    <t xml:space="preserve">ЛГ 400х200  </t>
  </si>
  <si>
    <t xml:space="preserve">ЛГ 500х50  </t>
  </si>
  <si>
    <t xml:space="preserve">ЛГ 500х60  </t>
  </si>
  <si>
    <t xml:space="preserve"> ЛГ 500х65  </t>
  </si>
  <si>
    <t xml:space="preserve"> ЛГ 500х80  </t>
  </si>
  <si>
    <t xml:space="preserve">ЛГ 500х150  </t>
  </si>
  <si>
    <t xml:space="preserve">ЛГ 500х200  </t>
  </si>
  <si>
    <t xml:space="preserve"> ЛГ 600х50  </t>
  </si>
  <si>
    <t xml:space="preserve"> ЛГ 600х80  </t>
  </si>
  <si>
    <t xml:space="preserve"> ЛГ 600х100  </t>
  </si>
  <si>
    <t xml:space="preserve">ЛГ 600х150  </t>
  </si>
  <si>
    <t xml:space="preserve"> ЛГ 600х200  </t>
  </si>
  <si>
    <t>Лоток перфорированный (Ширина*высота)</t>
  </si>
  <si>
    <t>Лоток лестничный (Ширина*высота)</t>
  </si>
  <si>
    <t>ЛЛ 100*50</t>
  </si>
  <si>
    <t>ЛЛ 100*60</t>
  </si>
  <si>
    <t>ЛЛ 100*80</t>
  </si>
  <si>
    <t>ЛЛ 100*100</t>
  </si>
  <si>
    <t>ЛЛ 150*50</t>
  </si>
  <si>
    <t>ЛЛ 150*60</t>
  </si>
  <si>
    <t>ЛЛ 150*80</t>
  </si>
  <si>
    <t>ЛЛ 150*100</t>
  </si>
  <si>
    <t>ЛЛ 150*150</t>
  </si>
  <si>
    <t>ЛЛ 200*50</t>
  </si>
  <si>
    <t>ЛЛ 200*60</t>
  </si>
  <si>
    <t>ЛЛ 200*80</t>
  </si>
  <si>
    <t>ЛЛ 200*100</t>
  </si>
  <si>
    <t>ЛЛ 200*150</t>
  </si>
  <si>
    <t>ЛЛ 250*50</t>
  </si>
  <si>
    <t>ЛЛ 250*60</t>
  </si>
  <si>
    <t>ЛЛ 250*80</t>
  </si>
  <si>
    <t>ЛЛ 250*100</t>
  </si>
  <si>
    <t>ЛЛ 250*150</t>
  </si>
  <si>
    <t>ЛЛ 300*50</t>
  </si>
  <si>
    <t>ЛЛ 300*60</t>
  </si>
  <si>
    <t>ЛЛ 300*80</t>
  </si>
  <si>
    <t>ЛЛ 300*100</t>
  </si>
  <si>
    <t>ЛЛ 300*150</t>
  </si>
  <si>
    <t>ЛЛ 400*50</t>
  </si>
  <si>
    <t>ЛЛ 400*60</t>
  </si>
  <si>
    <t>ЛЛ 400*80</t>
  </si>
  <si>
    <t>ЛЛ 400*100</t>
  </si>
  <si>
    <t>ЛЛ 400*150</t>
  </si>
  <si>
    <t>ЛЛ 450*150</t>
  </si>
  <si>
    <t>ЛЛ 500*50</t>
  </si>
  <si>
    <t>ЛЛ 500*60</t>
  </si>
  <si>
    <t>ЛЛ 500*80</t>
  </si>
  <si>
    <t>ЛЛ 500*100</t>
  </si>
  <si>
    <t>ЛЛ 500*150</t>
  </si>
  <si>
    <t>ЛЛ 600*50</t>
  </si>
  <si>
    <t>ЛЛ 600*60</t>
  </si>
  <si>
    <t>ЛЛ 600*80</t>
  </si>
  <si>
    <t>ЛЛ 600*100</t>
  </si>
  <si>
    <t>ЛЛ 600*150</t>
  </si>
  <si>
    <t>Лоток проволочный усиленный 5,0 мм</t>
  </si>
  <si>
    <t>СПЛБ соединитель безвинтовой</t>
  </si>
  <si>
    <t xml:space="preserve">СПЛП соединитель перфорированный </t>
  </si>
  <si>
    <t>ЛПР 50х35</t>
  </si>
  <si>
    <t>ЛПР 70х50</t>
  </si>
  <si>
    <t>ЛПР 60х30</t>
  </si>
  <si>
    <t>ЛПР 100х35</t>
  </si>
  <si>
    <t>ЛПР 150х35</t>
  </si>
  <si>
    <t>ЛПР 200х35</t>
  </si>
  <si>
    <t>ЛПР 250х35</t>
  </si>
  <si>
    <t>ЛПР 300х35</t>
  </si>
  <si>
    <t>ЛПР 350х35</t>
  </si>
  <si>
    <t>ЛПР 400х35</t>
  </si>
  <si>
    <t>ЛПР 450х35</t>
  </si>
  <si>
    <t>ЛПР 500х35</t>
  </si>
  <si>
    <t>ЛПР 550х35</t>
  </si>
  <si>
    <t>ЛПР 60х60</t>
  </si>
  <si>
    <t>ЛПР 100х60</t>
  </si>
  <si>
    <t>ЛПР 150х60</t>
  </si>
  <si>
    <t>ЛПР 200х60</t>
  </si>
  <si>
    <t>ЛПР 250х60</t>
  </si>
  <si>
    <t xml:space="preserve">ЛПР 300х60 </t>
  </si>
  <si>
    <t>ЛПР 350х60</t>
  </si>
  <si>
    <t xml:space="preserve">ЛПР 400х60 </t>
  </si>
  <si>
    <t xml:space="preserve">ЛПР 450х60 </t>
  </si>
  <si>
    <t xml:space="preserve">ЛПР 500х60 </t>
  </si>
  <si>
    <t xml:space="preserve">ЛПР 550х60 </t>
  </si>
  <si>
    <t xml:space="preserve">ЛПР 600х60 </t>
  </si>
  <si>
    <t xml:space="preserve">ЛПР 80х80 </t>
  </si>
  <si>
    <t xml:space="preserve">ЛПР 100х85  </t>
  </si>
  <si>
    <t xml:space="preserve">ЛПР 150х85 </t>
  </si>
  <si>
    <t>ЛПР 200х85</t>
  </si>
  <si>
    <t xml:space="preserve">ЛПР 250х85 </t>
  </si>
  <si>
    <t xml:space="preserve">ЛПР 300х85  </t>
  </si>
  <si>
    <t xml:space="preserve">ЛПР 350х85  </t>
  </si>
  <si>
    <t xml:space="preserve">ЛПР 400х85  </t>
  </si>
  <si>
    <t xml:space="preserve">ЛПР 500х85 </t>
  </si>
  <si>
    <t xml:space="preserve">ЛПР 600х85 </t>
  </si>
  <si>
    <t>ЛПР 100х105</t>
  </si>
  <si>
    <t>ЛПР 125х105</t>
  </si>
  <si>
    <t>ЛПР 150х105</t>
  </si>
  <si>
    <t>ЛПР 200х105</t>
  </si>
  <si>
    <t>ЛПР 300х105</t>
  </si>
  <si>
    <t>ЛПР 400х105</t>
  </si>
  <si>
    <t>ЛПР 500х105</t>
  </si>
  <si>
    <t>ЛПР 600х105</t>
  </si>
  <si>
    <t xml:space="preserve">ЛПРу 60х60 </t>
  </si>
  <si>
    <t xml:space="preserve">ЛПРу 100х60 </t>
  </si>
  <si>
    <t xml:space="preserve">ЛПРу 150х60  </t>
  </si>
  <si>
    <t xml:space="preserve">ЛПРу 600х105  </t>
  </si>
  <si>
    <t xml:space="preserve">ЛПРу 500х105  </t>
  </si>
  <si>
    <t xml:space="preserve">ЛПРу 400х105  </t>
  </si>
  <si>
    <t xml:space="preserve">ЛПРу 300х105 </t>
  </si>
  <si>
    <t xml:space="preserve">ЛПРу 200х105 </t>
  </si>
  <si>
    <t xml:space="preserve">ЛПРу 100х105  </t>
  </si>
  <si>
    <t xml:space="preserve">ЛПРу 600х85  </t>
  </si>
  <si>
    <t xml:space="preserve">ЛПРу 500х85  </t>
  </si>
  <si>
    <t xml:space="preserve">ЛПРу 400х85  </t>
  </si>
  <si>
    <t xml:space="preserve">ЛПРу 300х85  </t>
  </si>
  <si>
    <t xml:space="preserve">ЛПРу 200х85  </t>
  </si>
  <si>
    <t xml:space="preserve">ЛПРу 100х85  </t>
  </si>
  <si>
    <t xml:space="preserve">ЛПРу 600х60  </t>
  </si>
  <si>
    <t xml:space="preserve">ЛПРу 500х60 </t>
  </si>
  <si>
    <t xml:space="preserve">ЛПРу 400х60  </t>
  </si>
  <si>
    <t xml:space="preserve">ЛПРу 300х60  </t>
  </si>
  <si>
    <t xml:space="preserve">ЛПРу 200х60  </t>
  </si>
  <si>
    <t>17. Короб кабельный ККБ</t>
  </si>
  <si>
    <t>10. Перегородки и заглушки</t>
  </si>
  <si>
    <t>Наценка,%</t>
  </si>
  <si>
    <t>Лоток глухой (Ширина*высота)</t>
  </si>
  <si>
    <t xml:space="preserve"> ЛГ500х100  </t>
  </si>
  <si>
    <t xml:space="preserve">ЛГ400х65  </t>
  </si>
  <si>
    <t>Цена указанна за шт с НДС</t>
  </si>
  <si>
    <t xml:space="preserve">                                        zakaz@elkan.ru                            8 (495) 198-12-54                             www.elkan.ru</t>
  </si>
  <si>
    <t>Цены в прайсе указанны с учетом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</si>
</sst>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₽_-;\-* #,##0.00\ _₽_-;_-* &quot;-&quot;??\ _₽_-;_-@_-"/>
    <numFmt numFmtId="165" formatCode="0.0"/>
    <numFmt numFmtId="166" formatCode="0.000"/>
    <numFmt numFmtId="167" formatCode="_-* #,##0.0_-;\-* #,##0.0_-;_-* &quot;-&quot;??_-;_-@_-"/>
    <numFmt numFmtId="168" formatCode="_-* #,##0_-;\-* #,##0_-;_-* &quot;-&quot;??_-;_-@_-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0"/>
      <name val="Arial"/>
      <family val="2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b/>
      <sz val="10"/>
      <name val="Arial Cyr"/>
      <family val="1"/>
      <charset val="204"/>
    </font>
    <font>
      <b/>
      <sz val="1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6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rgb="FF000000"/>
      <name val="Symbol"/>
      <family val="1"/>
      <charset val="2"/>
    </font>
    <font>
      <b/>
      <sz val="15"/>
      <color theme="3"/>
      <name val="Calibri"/>
      <family val="2"/>
      <charset val="204"/>
      <scheme val="minor"/>
    </font>
    <font>
      <b/>
      <sz val="15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name val="Arial Cyr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4"/>
      <name val="Arial Cyr"/>
      <charset val="204"/>
    </font>
    <font>
      <sz val="8"/>
      <name val="Arial Cyr"/>
      <charset val="204"/>
    </font>
    <font>
      <sz val="12"/>
      <color theme="1"/>
      <name val="Calibri"/>
      <family val="2"/>
      <scheme val="minor"/>
    </font>
    <font>
      <sz val="11"/>
      <color theme="1"/>
      <name val="Montserrat extra-bold"/>
      <charset val="204"/>
    </font>
    <font>
      <sz val="11"/>
      <color theme="1"/>
      <name val="Montserrat"/>
      <family val="3"/>
    </font>
    <font>
      <b/>
      <sz val="14"/>
      <color theme="0"/>
      <name val="Montserrat Semi-Bold"/>
      <charset val="204"/>
    </font>
    <font>
      <sz val="14"/>
      <color theme="0"/>
      <name val="Montserrat Semi-Bold"/>
      <charset val="204"/>
    </font>
    <font>
      <sz val="11"/>
      <color theme="1"/>
      <name val="Wingdings 2"/>
      <family val="1"/>
      <charset val="2"/>
    </font>
    <font>
      <b/>
      <sz val="14"/>
      <color rgb="FF0457C6"/>
      <name val="Montserrat Semi-Bold"/>
      <charset val="204"/>
    </font>
    <font>
      <sz val="11"/>
      <color theme="0"/>
      <name val="Calibri"/>
      <family val="2"/>
      <scheme val="minor"/>
    </font>
    <font>
      <sz val="16"/>
      <color theme="0"/>
      <name val="Calibri"/>
      <family val="2"/>
      <charset val="204"/>
      <scheme val="minor"/>
    </font>
    <font>
      <sz val="16"/>
      <color theme="0"/>
      <name val="Montserrat Semi-Bold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22"/>
      </patternFill>
    </fill>
    <fill>
      <patternFill patternType="solid">
        <fgColor theme="0" tint="-0.3499862666707357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457C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 tint="-4.9989318521683403E-2"/>
        <bgColor indexed="22"/>
      </patternFill>
    </fill>
  </fills>
  <borders count="121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rgb="FF0457C6"/>
      </top>
      <bottom/>
      <diagonal/>
    </border>
    <border>
      <left style="thin">
        <color rgb="FF0457C6"/>
      </left>
      <right style="thin">
        <color rgb="FF0457C6"/>
      </right>
      <top style="thin">
        <color rgb="FF0457C6"/>
      </top>
      <bottom style="thin">
        <color rgb="FF0457C6"/>
      </bottom>
      <diagonal/>
    </border>
    <border>
      <left style="thin">
        <color rgb="FF0457C6"/>
      </left>
      <right/>
      <top style="thin">
        <color rgb="FF0457C6"/>
      </top>
      <bottom/>
      <diagonal/>
    </border>
    <border>
      <left/>
      <right style="thin">
        <color rgb="FF0457C6"/>
      </right>
      <top style="thin">
        <color rgb="FF0457C6"/>
      </top>
      <bottom/>
      <diagonal/>
    </border>
    <border>
      <left style="thin">
        <color rgb="FF0457C6"/>
      </left>
      <right/>
      <top/>
      <bottom/>
      <diagonal/>
    </border>
    <border>
      <left style="thin">
        <color rgb="FF0457C6"/>
      </left>
      <right style="medium">
        <color indexed="64"/>
      </right>
      <top/>
      <bottom style="thin">
        <color rgb="FF0457C6"/>
      </bottom>
      <diagonal/>
    </border>
    <border>
      <left style="thin">
        <color rgb="FF0457C6"/>
      </left>
      <right style="thin">
        <color rgb="FF0457C6"/>
      </right>
      <top/>
      <bottom style="thin">
        <color rgb="FF0457C6"/>
      </bottom>
      <diagonal/>
    </border>
    <border>
      <left style="thin">
        <color rgb="FF0457C6"/>
      </left>
      <right style="thin">
        <color rgb="FF0457C6"/>
      </right>
      <top style="thin">
        <color rgb="FF0457C6"/>
      </top>
      <bottom/>
      <diagonal/>
    </border>
    <border>
      <left style="thin">
        <color rgb="FF0457C6"/>
      </left>
      <right/>
      <top style="thin">
        <color rgb="FF0457C6"/>
      </top>
      <bottom style="thin">
        <color rgb="FF0457C6"/>
      </bottom>
      <diagonal/>
    </border>
    <border>
      <left style="thin">
        <color rgb="FF0457C6"/>
      </left>
      <right style="medium">
        <color indexed="64"/>
      </right>
      <top style="thin">
        <color rgb="FF0457C6"/>
      </top>
      <bottom style="thin">
        <color rgb="FF0457C6"/>
      </bottom>
      <diagonal/>
    </border>
    <border>
      <left style="medium">
        <color indexed="64"/>
      </left>
      <right style="thin">
        <color rgb="FF0457C6"/>
      </right>
      <top style="thin">
        <color rgb="FF0457C6"/>
      </top>
      <bottom/>
      <diagonal/>
    </border>
    <border>
      <left style="medium">
        <color indexed="64"/>
      </left>
      <right style="thin">
        <color rgb="FF0457C6"/>
      </right>
      <top style="thin">
        <color rgb="FF0457C6"/>
      </top>
      <bottom style="thin">
        <color rgb="FF0457C6"/>
      </bottom>
      <diagonal/>
    </border>
    <border>
      <left style="thin">
        <color auto="1"/>
      </left>
      <right style="thin">
        <color rgb="FF0457C6"/>
      </right>
      <top style="thin">
        <color rgb="FF0457C6"/>
      </top>
      <bottom style="thin">
        <color rgb="FF0457C6"/>
      </bottom>
      <diagonal/>
    </border>
    <border>
      <left style="medium">
        <color rgb="FF0457C6"/>
      </left>
      <right/>
      <top style="medium">
        <color rgb="FF0457C6"/>
      </top>
      <bottom/>
      <diagonal/>
    </border>
    <border>
      <left/>
      <right/>
      <top style="medium">
        <color rgb="FF0457C6"/>
      </top>
      <bottom/>
      <diagonal/>
    </border>
    <border>
      <left style="medium">
        <color rgb="FF0457C6"/>
      </left>
      <right/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/>
      <right style="thin">
        <color theme="0"/>
      </right>
      <top style="medium">
        <color rgb="FF0457C6"/>
      </top>
      <bottom/>
      <diagonal/>
    </border>
    <border>
      <left/>
      <right style="thin">
        <color theme="0"/>
      </right>
      <top/>
      <bottom/>
      <diagonal/>
    </border>
    <border>
      <left style="medium">
        <color rgb="FF0457C6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12">
    <xf numFmtId="0" fontId="0" fillId="0" borderId="0"/>
    <xf numFmtId="0" fontId="14" fillId="0" borderId="0"/>
    <xf numFmtId="0" fontId="20" fillId="0" borderId="0" applyNumberForma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36" fillId="0" borderId="45" applyNumberFormat="0" applyFill="0" applyAlignment="0" applyProtection="0"/>
    <xf numFmtId="0" fontId="4" fillId="0" borderId="0"/>
    <xf numFmtId="0" fontId="26" fillId="0" borderId="0"/>
    <xf numFmtId="164" fontId="38" fillId="0" borderId="0" applyFont="0" applyFill="0" applyBorder="0" applyAlignment="0" applyProtection="0"/>
    <xf numFmtId="0" fontId="2" fillId="0" borderId="0"/>
    <xf numFmtId="43" fontId="32" fillId="0" borderId="0" applyFont="0" applyFill="0" applyBorder="0" applyAlignment="0" applyProtection="0"/>
  </cellStyleXfs>
  <cellXfs count="1049">
    <xf numFmtId="0" fontId="0" fillId="0" borderId="0" xfId="0"/>
    <xf numFmtId="0" fontId="0" fillId="0" borderId="1" xfId="0" applyFont="1" applyFill="1" applyBorder="1"/>
    <xf numFmtId="0" fontId="0" fillId="0" borderId="1" xfId="0" applyFont="1" applyBorder="1"/>
    <xf numFmtId="1" fontId="0" fillId="0" borderId="0" xfId="0" applyNumberFormat="1"/>
    <xf numFmtId="0" fontId="12" fillId="2" borderId="1" xfId="0" applyFont="1" applyFill="1" applyBorder="1"/>
    <xf numFmtId="2" fontId="0" fillId="0" borderId="0" xfId="0" applyNumberFormat="1"/>
    <xf numFmtId="0" fontId="0" fillId="0" borderId="2" xfId="0" applyBorder="1"/>
    <xf numFmtId="0" fontId="0" fillId="0" borderId="2" xfId="0" applyFont="1" applyBorder="1"/>
    <xf numFmtId="2" fontId="0" fillId="0" borderId="2" xfId="0" applyNumberFormat="1" applyBorder="1"/>
    <xf numFmtId="0" fontId="12" fillId="5" borderId="2" xfId="0" applyFont="1" applyFill="1" applyBorder="1"/>
    <xf numFmtId="0" fontId="0" fillId="0" borderId="2" xfId="0" applyFont="1" applyFill="1" applyBorder="1"/>
    <xf numFmtId="0" fontId="13" fillId="3" borderId="2" xfId="0" applyFont="1" applyFill="1" applyBorder="1"/>
    <xf numFmtId="0" fontId="0" fillId="0" borderId="2" xfId="0" applyFill="1" applyBorder="1"/>
    <xf numFmtId="165" fontId="0" fillId="0" borderId="0" xfId="0" applyNumberFormat="1"/>
    <xf numFmtId="165" fontId="0" fillId="0" borderId="2" xfId="0" applyNumberFormat="1" applyBorder="1"/>
    <xf numFmtId="0" fontId="0" fillId="6" borderId="0" xfId="0" applyFill="1"/>
    <xf numFmtId="49" fontId="0" fillId="0" borderId="2" xfId="0" applyNumberFormat="1" applyFont="1" applyBorder="1"/>
    <xf numFmtId="49" fontId="0" fillId="0" borderId="2" xfId="0" applyNumberFormat="1" applyFont="1" applyBorder="1" applyAlignment="1">
      <alignment vertical="center"/>
    </xf>
    <xf numFmtId="49" fontId="0" fillId="0" borderId="2" xfId="0" applyNumberFormat="1" applyFont="1" applyFill="1" applyBorder="1" applyAlignment="1">
      <alignment vertical="center"/>
    </xf>
    <xf numFmtId="49" fontId="0" fillId="0" borderId="2" xfId="0" applyNumberFormat="1" applyFont="1" applyFill="1" applyBorder="1"/>
    <xf numFmtId="0" fontId="17" fillId="2" borderId="15" xfId="0" applyNumberFormat="1" applyFont="1" applyFill="1" applyBorder="1" applyAlignment="1" applyProtection="1"/>
    <xf numFmtId="0" fontId="0" fillId="0" borderId="1" xfId="0" applyFill="1" applyBorder="1"/>
    <xf numFmtId="0" fontId="11" fillId="0" borderId="2" xfId="0" applyFont="1" applyBorder="1"/>
    <xf numFmtId="165" fontId="15" fillId="3" borderId="2" xfId="0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/>
    </xf>
    <xf numFmtId="2" fontId="11" fillId="0" borderId="2" xfId="0" applyNumberFormat="1" applyFont="1" applyBorder="1"/>
    <xf numFmtId="0" fontId="17" fillId="5" borderId="2" xfId="0" applyNumberFormat="1" applyFont="1" applyFill="1" applyBorder="1" applyAlignment="1" applyProtection="1"/>
    <xf numFmtId="0" fontId="0" fillId="0" borderId="16" xfId="0" applyFont="1" applyFill="1" applyBorder="1"/>
    <xf numFmtId="0" fontId="18" fillId="5" borderId="2" xfId="0" applyFont="1" applyFill="1" applyBorder="1"/>
    <xf numFmtId="165" fontId="19" fillId="3" borderId="2" xfId="0" applyNumberFormat="1" applyFont="1" applyFill="1" applyBorder="1" applyAlignment="1">
      <alignment horizontal="center" vertical="center"/>
    </xf>
    <xf numFmtId="0" fontId="20" fillId="0" borderId="0" xfId="2"/>
    <xf numFmtId="2" fontId="19" fillId="3" borderId="2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" fontId="0" fillId="0" borderId="0" xfId="0" applyNumberFormat="1" applyFill="1" applyBorder="1" applyAlignment="1">
      <alignment wrapText="1"/>
    </xf>
    <xf numFmtId="0" fontId="13" fillId="7" borderId="11" xfId="0" applyFont="1" applyFill="1" applyBorder="1"/>
    <xf numFmtId="0" fontId="0" fillId="0" borderId="11" xfId="0" applyFill="1" applyBorder="1"/>
    <xf numFmtId="0" fontId="13" fillId="8" borderId="11" xfId="0" applyFont="1" applyFill="1" applyBorder="1"/>
    <xf numFmtId="0" fontId="13" fillId="7" borderId="2" xfId="0" applyFont="1" applyFill="1" applyBorder="1"/>
    <xf numFmtId="0" fontId="0" fillId="0" borderId="4" xfId="0" applyBorder="1"/>
    <xf numFmtId="0" fontId="13" fillId="8" borderId="2" xfId="0" applyFont="1" applyFill="1" applyBorder="1"/>
    <xf numFmtId="0" fontId="0" fillId="7" borderId="2" xfId="0" applyFill="1" applyBorder="1"/>
    <xf numFmtId="0" fontId="0" fillId="8" borderId="2" xfId="0" applyFill="1" applyBorder="1"/>
    <xf numFmtId="165" fontId="0" fillId="3" borderId="12" xfId="0" applyNumberFormat="1" applyFill="1" applyBorder="1"/>
    <xf numFmtId="0" fontId="0" fillId="0" borderId="0" xfId="0" applyAlignment="1"/>
    <xf numFmtId="2" fontId="15" fillId="7" borderId="2" xfId="0" applyNumberFormat="1" applyFont="1" applyFill="1" applyBorder="1" applyAlignment="1">
      <alignment wrapText="1"/>
    </xf>
    <xf numFmtId="0" fontId="13" fillId="11" borderId="4" xfId="0" applyFont="1" applyFill="1" applyBorder="1" applyAlignment="1">
      <alignment horizontal="center" wrapText="1"/>
    </xf>
    <xf numFmtId="165" fontId="13" fillId="3" borderId="2" xfId="0" applyNumberFormat="1" applyFont="1" applyFill="1" applyBorder="1" applyAlignment="1">
      <alignment horizontal="left"/>
    </xf>
    <xf numFmtId="0" fontId="13" fillId="3" borderId="0" xfId="0" applyFont="1" applyFill="1"/>
    <xf numFmtId="0" fontId="0" fillId="7" borderId="0" xfId="0" applyFill="1"/>
    <xf numFmtId="0" fontId="10" fillId="3" borderId="0" xfId="0" applyFont="1" applyFill="1"/>
    <xf numFmtId="0" fontId="28" fillId="6" borderId="2" xfId="0" applyFont="1" applyFill="1" applyBorder="1" applyAlignment="1">
      <alignment horizontal="left" vertical="center"/>
    </xf>
    <xf numFmtId="0" fontId="28" fillId="6" borderId="2" xfId="0" applyFont="1" applyFill="1" applyBorder="1" applyAlignment="1">
      <alignment horizontal="center" vertical="center"/>
    </xf>
    <xf numFmtId="166" fontId="28" fillId="6" borderId="2" xfId="0" applyNumberFormat="1" applyFont="1" applyFill="1" applyBorder="1" applyAlignment="1">
      <alignment horizontal="center" vertical="center"/>
    </xf>
    <xf numFmtId="0" fontId="28" fillId="6" borderId="2" xfId="0" applyFont="1" applyFill="1" applyBorder="1"/>
    <xf numFmtId="0" fontId="9" fillId="0" borderId="2" xfId="0" applyFont="1" applyBorder="1"/>
    <xf numFmtId="0" fontId="13" fillId="7" borderId="2" xfId="0" applyFont="1" applyFill="1" applyBorder="1" applyAlignment="1">
      <alignment horizontal="left"/>
    </xf>
    <xf numFmtId="0" fontId="28" fillId="6" borderId="2" xfId="5" applyNumberFormat="1" applyFont="1" applyFill="1" applyBorder="1" applyAlignment="1">
      <alignment horizontal="left"/>
    </xf>
    <xf numFmtId="0" fontId="28" fillId="6" borderId="2" xfId="5" applyFont="1" applyFill="1" applyBorder="1" applyAlignment="1">
      <alignment horizontal="right" vertical="center"/>
    </xf>
    <xf numFmtId="165" fontId="28" fillId="6" borderId="2" xfId="5" applyNumberFormat="1" applyFont="1" applyFill="1" applyBorder="1" applyAlignment="1">
      <alignment horizontal="center" vertical="center"/>
    </xf>
    <xf numFmtId="0" fontId="28" fillId="6" borderId="2" xfId="5" applyFont="1" applyFill="1" applyBorder="1" applyAlignment="1">
      <alignment horizontal="center" vertical="center" wrapText="1"/>
    </xf>
    <xf numFmtId="0" fontId="28" fillId="6" borderId="2" xfId="5" applyFont="1" applyFill="1" applyBorder="1" applyAlignment="1">
      <alignment horizontal="center" vertical="center"/>
    </xf>
    <xf numFmtId="0" fontId="28" fillId="6" borderId="2" xfId="5" applyFont="1" applyFill="1" applyBorder="1" applyAlignment="1">
      <alignment horizontal="right"/>
    </xf>
    <xf numFmtId="165" fontId="28" fillId="6" borderId="2" xfId="5" applyNumberFormat="1" applyFont="1" applyFill="1" applyBorder="1" applyAlignment="1">
      <alignment horizontal="center"/>
    </xf>
    <xf numFmtId="0" fontId="28" fillId="6" borderId="2" xfId="5" applyFont="1" applyFill="1" applyBorder="1" applyAlignment="1">
      <alignment horizontal="center"/>
    </xf>
    <xf numFmtId="166" fontId="28" fillId="6" borderId="2" xfId="5" applyNumberFormat="1" applyFont="1" applyFill="1" applyBorder="1" applyAlignment="1">
      <alignment horizontal="center"/>
    </xf>
    <xf numFmtId="166" fontId="28" fillId="6" borderId="2" xfId="5" applyNumberFormat="1" applyFont="1" applyFill="1" applyBorder="1" applyAlignment="1">
      <alignment horizontal="center" vertical="center"/>
    </xf>
    <xf numFmtId="0" fontId="28" fillId="6" borderId="2" xfId="5" applyNumberFormat="1" applyFont="1" applyFill="1" applyBorder="1" applyAlignment="1">
      <alignment horizontal="right"/>
    </xf>
    <xf numFmtId="165" fontId="28" fillId="6" borderId="2" xfId="5" applyNumberFormat="1" applyFont="1" applyFill="1" applyBorder="1" applyAlignment="1">
      <alignment horizontal="right"/>
    </xf>
    <xf numFmtId="1" fontId="28" fillId="6" borderId="2" xfId="5" applyNumberFormat="1" applyFont="1" applyFill="1" applyBorder="1" applyAlignment="1">
      <alignment horizontal="right"/>
    </xf>
    <xf numFmtId="0" fontId="9" fillId="0" borderId="0" xfId="0" applyFont="1"/>
    <xf numFmtId="1" fontId="28" fillId="7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wrapText="1"/>
    </xf>
    <xf numFmtId="0" fontId="9" fillId="7" borderId="2" xfId="0" applyFont="1" applyFill="1" applyBorder="1" applyAlignment="1">
      <alignment horizontal="center" wrapText="1"/>
    </xf>
    <xf numFmtId="1" fontId="30" fillId="9" borderId="2" xfId="0" applyNumberFormat="1" applyFont="1" applyFill="1" applyBorder="1" applyAlignment="1">
      <alignment horizontal="center" vertical="center"/>
    </xf>
    <xf numFmtId="1" fontId="30" fillId="3" borderId="2" xfId="0" applyNumberFormat="1" applyFont="1" applyFill="1" applyBorder="1" applyAlignment="1">
      <alignment horizontal="center" vertical="center" wrapText="1"/>
    </xf>
    <xf numFmtId="0" fontId="31" fillId="4" borderId="2" xfId="0" applyFont="1" applyFill="1" applyBorder="1"/>
    <xf numFmtId="2" fontId="9" fillId="3" borderId="2" xfId="0" applyNumberFormat="1" applyFont="1" applyFill="1" applyBorder="1"/>
    <xf numFmtId="0" fontId="9" fillId="0" borderId="2" xfId="0" applyFont="1" applyFill="1" applyBorder="1"/>
    <xf numFmtId="2" fontId="9" fillId="0" borderId="2" xfId="0" applyNumberFormat="1" applyFont="1" applyBorder="1"/>
    <xf numFmtId="0" fontId="24" fillId="4" borderId="2" xfId="0" applyFont="1" applyFill="1" applyBorder="1"/>
    <xf numFmtId="0" fontId="24" fillId="4" borderId="11" xfId="0" applyFont="1" applyFill="1" applyBorder="1"/>
    <xf numFmtId="1" fontId="28" fillId="7" borderId="2" xfId="0" applyNumberFormat="1" applyFont="1" applyFill="1" applyBorder="1" applyAlignment="1">
      <alignment horizontal="center"/>
    </xf>
    <xf numFmtId="1" fontId="28" fillId="6" borderId="2" xfId="0" applyNumberFormat="1" applyFont="1" applyFill="1" applyBorder="1" applyAlignment="1">
      <alignment horizontal="center" vertical="center"/>
    </xf>
    <xf numFmtId="1" fontId="28" fillId="6" borderId="2" xfId="0" applyNumberFormat="1" applyFont="1" applyFill="1" applyBorder="1" applyAlignment="1">
      <alignment horizontal="center" vertical="center" wrapText="1"/>
    </xf>
    <xf numFmtId="1" fontId="29" fillId="7" borderId="2" xfId="0" applyNumberFormat="1" applyFont="1" applyFill="1" applyBorder="1" applyAlignment="1">
      <alignment horizontal="center" vertical="center" wrapText="1"/>
    </xf>
    <xf numFmtId="1" fontId="29" fillId="6" borderId="2" xfId="0" applyNumberFormat="1" applyFont="1" applyFill="1" applyBorder="1" applyAlignment="1">
      <alignment horizontal="center" vertical="center" wrapText="1"/>
    </xf>
    <xf numFmtId="1" fontId="29" fillId="6" borderId="12" xfId="0" applyNumberFormat="1" applyFont="1" applyFill="1" applyBorder="1" applyAlignment="1">
      <alignment horizontal="center" vertical="center" wrapText="1"/>
    </xf>
    <xf numFmtId="1" fontId="29" fillId="7" borderId="12" xfId="0" applyNumberFormat="1" applyFont="1" applyFill="1" applyBorder="1" applyAlignment="1">
      <alignment horizontal="center" vertical="center" wrapText="1"/>
    </xf>
    <xf numFmtId="165" fontId="19" fillId="7" borderId="2" xfId="0" applyNumberFormat="1" applyFont="1" applyFill="1" applyBorder="1" applyAlignment="1">
      <alignment horizontal="center" vertical="center"/>
    </xf>
    <xf numFmtId="49" fontId="0" fillId="0" borderId="12" xfId="0" applyNumberFormat="1" applyFont="1" applyBorder="1"/>
    <xf numFmtId="0" fontId="21" fillId="3" borderId="2" xfId="2" applyFont="1" applyFill="1" applyBorder="1" applyAlignment="1">
      <alignment horizontal="center" vertical="center"/>
    </xf>
    <xf numFmtId="0" fontId="0" fillId="3" borderId="2" xfId="0" applyFill="1" applyBorder="1"/>
    <xf numFmtId="1" fontId="0" fillId="0" borderId="2" xfId="0" applyNumberFormat="1" applyBorder="1" applyAlignment="1">
      <alignment horizontal="center"/>
    </xf>
    <xf numFmtId="1" fontId="0" fillId="0" borderId="2" xfId="0" applyNumberFormat="1" applyBorder="1" applyAlignment="1">
      <alignment horizontal="center" vertical="center"/>
    </xf>
    <xf numFmtId="0" fontId="13" fillId="3" borderId="2" xfId="0" applyFont="1" applyFill="1" applyBorder="1" applyAlignment="1">
      <alignment horizontal="center"/>
    </xf>
    <xf numFmtId="0" fontId="13" fillId="7" borderId="2" xfId="0" applyFont="1" applyFill="1" applyBorder="1" applyAlignment="1">
      <alignment horizontal="center"/>
    </xf>
    <xf numFmtId="1" fontId="31" fillId="7" borderId="12" xfId="1" applyNumberFormat="1" applyFont="1" applyFill="1" applyBorder="1" applyAlignment="1">
      <alignment horizontal="center" vertical="center" wrapText="1"/>
    </xf>
    <xf numFmtId="0" fontId="28" fillId="0" borderId="2" xfId="1" applyNumberFormat="1" applyFont="1" applyBorder="1" applyAlignment="1">
      <alignment horizontal="left" vertical="center"/>
    </xf>
    <xf numFmtId="0" fontId="28" fillId="0" borderId="2" xfId="1" applyNumberFormat="1" applyFont="1" applyFill="1" applyBorder="1" applyAlignment="1">
      <alignment horizontal="left" vertical="center"/>
    </xf>
    <xf numFmtId="1" fontId="31" fillId="11" borderId="2" xfId="1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left" vertical="center"/>
    </xf>
    <xf numFmtId="0" fontId="0" fillId="0" borderId="2" xfId="0" applyBorder="1" applyAlignment="1"/>
    <xf numFmtId="0" fontId="13" fillId="8" borderId="3" xfId="0" applyFont="1" applyFill="1" applyBorder="1"/>
    <xf numFmtId="0" fontId="15" fillId="0" borderId="2" xfId="0" applyFont="1" applyBorder="1"/>
    <xf numFmtId="0" fontId="15" fillId="0" borderId="2" xfId="0" applyFont="1" applyBorder="1" applyAlignment="1"/>
    <xf numFmtId="0" fontId="13" fillId="3" borderId="4" xfId="0" applyFont="1" applyFill="1" applyBorder="1"/>
    <xf numFmtId="0" fontId="13" fillId="8" borderId="13" xfId="0" applyFont="1" applyFill="1" applyBorder="1"/>
    <xf numFmtId="0" fontId="0" fillId="8" borderId="13" xfId="0" applyFill="1" applyBorder="1"/>
    <xf numFmtId="1" fontId="28" fillId="7" borderId="12" xfId="1" applyNumberFormat="1" applyFont="1" applyFill="1" applyBorder="1" applyAlignment="1">
      <alignment horizontal="center" vertical="center" wrapText="1"/>
    </xf>
    <xf numFmtId="1" fontId="28" fillId="11" borderId="12" xfId="1" applyNumberFormat="1" applyFont="1" applyFill="1" applyBorder="1" applyAlignment="1">
      <alignment horizontal="center" vertical="center" wrapText="1"/>
    </xf>
    <xf numFmtId="1" fontId="33" fillId="11" borderId="2" xfId="1" applyNumberFormat="1" applyFont="1" applyFill="1" applyBorder="1" applyAlignment="1">
      <alignment horizontal="center" vertical="center" wrapText="1"/>
    </xf>
    <xf numFmtId="1" fontId="28" fillId="11" borderId="2" xfId="1" applyNumberFormat="1" applyFont="1" applyFill="1" applyBorder="1" applyAlignment="1">
      <alignment horizontal="center" vertical="center" wrapText="1"/>
    </xf>
    <xf numFmtId="0" fontId="24" fillId="4" borderId="4" xfId="0" applyFont="1" applyFill="1" applyBorder="1" applyAlignment="1"/>
    <xf numFmtId="0" fontId="24" fillId="4" borderId="2" xfId="0" applyFont="1" applyFill="1" applyBorder="1" applyAlignment="1"/>
    <xf numFmtId="0" fontId="0" fillId="0" borderId="33" xfId="0" applyBorder="1" applyAlignment="1">
      <alignment horizontal="left" vertical="center"/>
    </xf>
    <xf numFmtId="0" fontId="6" fillId="0" borderId="2" xfId="0" applyFont="1" applyBorder="1"/>
    <xf numFmtId="0" fontId="13" fillId="3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3" fillId="11" borderId="9" xfId="0" applyFont="1" applyFill="1" applyBorder="1" applyAlignment="1">
      <alignment horizontal="center" vertical="center" wrapText="1"/>
    </xf>
    <xf numFmtId="0" fontId="0" fillId="11" borderId="0" xfId="0" applyFill="1"/>
    <xf numFmtId="0" fontId="13" fillId="7" borderId="9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vertical="center" wrapText="1"/>
    </xf>
    <xf numFmtId="1" fontId="0" fillId="6" borderId="2" xfId="0" applyNumberFormat="1" applyFill="1" applyBorder="1" applyAlignment="1">
      <alignment horizontal="center" vertical="center"/>
    </xf>
    <xf numFmtId="1" fontId="0" fillId="7" borderId="2" xfId="0" applyNumberFormat="1" applyFill="1" applyBorder="1" applyAlignment="1">
      <alignment horizontal="center" vertical="center"/>
    </xf>
    <xf numFmtId="1" fontId="0" fillId="11" borderId="2" xfId="0" applyNumberFormat="1" applyFill="1" applyBorder="1" applyAlignment="1">
      <alignment horizontal="center" vertical="center"/>
    </xf>
    <xf numFmtId="1" fontId="12" fillId="5" borderId="2" xfId="0" applyNumberFormat="1" applyFont="1" applyFill="1" applyBorder="1" applyAlignment="1">
      <alignment horizontal="center" vertical="center"/>
    </xf>
    <xf numFmtId="0" fontId="23" fillId="0" borderId="3" xfId="0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0" fontId="13" fillId="7" borderId="18" xfId="0" applyFont="1" applyFill="1" applyBorder="1" applyAlignment="1">
      <alignment horizontal="center" vertical="center" wrapText="1"/>
    </xf>
    <xf numFmtId="1" fontId="0" fillId="3" borderId="2" xfId="0" applyNumberFormat="1" applyFill="1" applyBorder="1" applyAlignment="1">
      <alignment horizontal="center"/>
    </xf>
    <xf numFmtId="0" fontId="0" fillId="0" borderId="0" xfId="0" applyBorder="1"/>
    <xf numFmtId="1" fontId="7" fillId="3" borderId="2" xfId="0" applyNumberFormat="1" applyFont="1" applyFill="1" applyBorder="1" applyAlignment="1">
      <alignment horizontal="center"/>
    </xf>
    <xf numFmtId="1" fontId="8" fillId="3" borderId="2" xfId="0" applyNumberFormat="1" applyFont="1" applyFill="1" applyBorder="1" applyAlignment="1">
      <alignment horizontal="center" wrapText="1"/>
    </xf>
    <xf numFmtId="1" fontId="8" fillId="3" borderId="2" xfId="0" applyNumberFormat="1" applyFont="1" applyFill="1" applyBorder="1" applyAlignment="1">
      <alignment horizontal="center"/>
    </xf>
    <xf numFmtId="165" fontId="8" fillId="7" borderId="2" xfId="0" applyNumberFormat="1" applyFont="1" applyFill="1" applyBorder="1" applyAlignment="1">
      <alignment horizontal="center"/>
    </xf>
    <xf numFmtId="1" fontId="0" fillId="0" borderId="12" xfId="0" applyNumberFormat="1" applyBorder="1" applyAlignment="1">
      <alignment horizontal="center" vertical="center"/>
    </xf>
    <xf numFmtId="1" fontId="0" fillId="6" borderId="12" xfId="0" applyNumberFormat="1" applyFill="1" applyBorder="1" applyAlignment="1">
      <alignment horizontal="center" vertical="center"/>
    </xf>
    <xf numFmtId="1" fontId="0" fillId="7" borderId="12" xfId="0" applyNumberFormat="1" applyFill="1" applyBorder="1" applyAlignment="1">
      <alignment horizontal="center" vertical="center"/>
    </xf>
    <xf numFmtId="1" fontId="0" fillId="8" borderId="12" xfId="0" applyNumberFormat="1" applyFill="1" applyBorder="1" applyAlignment="1">
      <alignment horizontal="center" vertical="center"/>
    </xf>
    <xf numFmtId="1" fontId="0" fillId="8" borderId="2" xfId="0" applyNumberFormat="1" applyFill="1" applyBorder="1" applyAlignment="1">
      <alignment horizontal="center" vertical="center"/>
    </xf>
    <xf numFmtId="1" fontId="32" fillId="7" borderId="2" xfId="0" applyNumberFormat="1" applyFont="1" applyFill="1" applyBorder="1" applyAlignment="1">
      <alignment horizontal="center" vertical="center"/>
    </xf>
    <xf numFmtId="1" fontId="0" fillId="0" borderId="11" xfId="0" applyNumberFormat="1" applyFill="1" applyBorder="1" applyAlignment="1">
      <alignment horizontal="center" vertical="center"/>
    </xf>
    <xf numFmtId="4" fontId="28" fillId="10" borderId="27" xfId="4" applyNumberFormat="1" applyFont="1" applyFill="1" applyBorder="1" applyAlignment="1" applyProtection="1">
      <alignment horizontal="center"/>
      <protection hidden="1"/>
    </xf>
    <xf numFmtId="4" fontId="28" fillId="7" borderId="27" xfId="4" applyNumberFormat="1" applyFont="1" applyFill="1" applyBorder="1" applyAlignment="1" applyProtection="1">
      <alignment horizontal="center"/>
      <protection hidden="1"/>
    </xf>
    <xf numFmtId="4" fontId="28" fillId="7" borderId="2" xfId="4" applyNumberFormat="1" applyFont="1" applyFill="1" applyBorder="1" applyAlignment="1" applyProtection="1">
      <alignment horizontal="center" vertical="center"/>
      <protection hidden="1"/>
    </xf>
    <xf numFmtId="4" fontId="28" fillId="7" borderId="2" xfId="5" applyNumberFormat="1" applyFont="1" applyFill="1" applyBorder="1" applyAlignment="1" applyProtection="1">
      <alignment horizontal="center" vertical="center" wrapText="1"/>
      <protection hidden="1"/>
    </xf>
    <xf numFmtId="4" fontId="28" fillId="7" borderId="2" xfId="5" applyNumberFormat="1" applyFont="1" applyFill="1" applyBorder="1" applyAlignment="1" applyProtection="1">
      <alignment horizontal="center" vertical="center"/>
      <protection hidden="1"/>
    </xf>
    <xf numFmtId="0" fontId="13" fillId="7" borderId="2" xfId="0" applyFont="1" applyFill="1" applyBorder="1" applyAlignment="1">
      <alignment horizontal="center" vertical="center"/>
    </xf>
    <xf numFmtId="4" fontId="28" fillId="3" borderId="2" xfId="5" applyNumberFormat="1" applyFont="1" applyFill="1" applyBorder="1" applyAlignment="1" applyProtection="1">
      <alignment horizontal="center" vertical="center" wrapText="1"/>
      <protection hidden="1"/>
    </xf>
    <xf numFmtId="0" fontId="13" fillId="11" borderId="17" xfId="0" applyFont="1" applyFill="1" applyBorder="1" applyAlignment="1">
      <alignment horizontal="center" vertical="center" wrapText="1"/>
    </xf>
    <xf numFmtId="1" fontId="0" fillId="11" borderId="4" xfId="0" applyNumberFormat="1" applyFill="1" applyBorder="1" applyAlignment="1">
      <alignment horizontal="center" vertical="center"/>
    </xf>
    <xf numFmtId="1" fontId="0" fillId="11" borderId="2" xfId="0" quotePrefix="1" applyNumberFormat="1" applyFill="1" applyBorder="1" applyAlignment="1">
      <alignment horizontal="center" vertical="center"/>
    </xf>
    <xf numFmtId="2" fontId="15" fillId="6" borderId="2" xfId="0" applyNumberFormat="1" applyFont="1" applyFill="1" applyBorder="1" applyAlignment="1">
      <alignment horizontal="center" wrapText="1"/>
    </xf>
    <xf numFmtId="0" fontId="0" fillId="12" borderId="2" xfId="0" applyFill="1" applyBorder="1"/>
    <xf numFmtId="0" fontId="0" fillId="6" borderId="2" xfId="0" applyFill="1" applyBorder="1"/>
    <xf numFmtId="4" fontId="28" fillId="10" borderId="2" xfId="4" applyNumberFormat="1" applyFont="1" applyFill="1" applyBorder="1" applyAlignment="1" applyProtection="1">
      <alignment horizontal="center"/>
      <protection hidden="1"/>
    </xf>
    <xf numFmtId="4" fontId="28" fillId="7" borderId="2" xfId="4" applyNumberFormat="1" applyFont="1" applyFill="1" applyBorder="1" applyAlignment="1" applyProtection="1">
      <alignment horizontal="center"/>
      <protection hidden="1"/>
    </xf>
    <xf numFmtId="0" fontId="28" fillId="6" borderId="2" xfId="4" applyFont="1" applyFill="1" applyBorder="1" applyAlignment="1">
      <alignment horizontal="left" vertical="center"/>
    </xf>
    <xf numFmtId="0" fontId="28" fillId="6" borderId="2" xfId="4" applyFont="1" applyFill="1" applyBorder="1" applyAlignment="1">
      <alignment horizontal="center" vertical="center"/>
    </xf>
    <xf numFmtId="165" fontId="28" fillId="6" borderId="2" xfId="4" applyNumberFormat="1" applyFont="1" applyFill="1" applyBorder="1" applyAlignment="1">
      <alignment horizontal="center" vertical="center"/>
    </xf>
    <xf numFmtId="166" fontId="28" fillId="6" borderId="2" xfId="4" applyNumberFormat="1" applyFont="1" applyFill="1" applyBorder="1" applyAlignment="1">
      <alignment horizontal="center" vertical="center"/>
    </xf>
    <xf numFmtId="0" fontId="28" fillId="6" borderId="2" xfId="3" applyFont="1" applyFill="1" applyBorder="1" applyAlignment="1">
      <alignment vertical="center"/>
    </xf>
    <xf numFmtId="0" fontId="28" fillId="6" borderId="2" xfId="3" applyFont="1" applyFill="1" applyBorder="1" applyAlignment="1">
      <alignment horizontal="center" vertical="center"/>
    </xf>
    <xf numFmtId="1" fontId="28" fillId="7" borderId="2" xfId="3" applyNumberFormat="1" applyFont="1" applyFill="1" applyBorder="1" applyAlignment="1" applyProtection="1">
      <alignment horizontal="center"/>
      <protection hidden="1"/>
    </xf>
    <xf numFmtId="0" fontId="28" fillId="6" borderId="2" xfId="3" applyFont="1" applyFill="1" applyBorder="1" applyAlignment="1">
      <alignment horizontal="center"/>
    </xf>
    <xf numFmtId="1" fontId="28" fillId="7" borderId="2" xfId="3" applyNumberFormat="1" applyFont="1" applyFill="1" applyBorder="1" applyAlignment="1" applyProtection="1">
      <alignment horizontal="center" vertical="center"/>
      <protection hidden="1"/>
    </xf>
    <xf numFmtId="2" fontId="28" fillId="7" borderId="2" xfId="3" applyNumberFormat="1" applyFont="1" applyFill="1" applyBorder="1" applyAlignment="1" applyProtection="1">
      <alignment horizontal="center" vertical="center"/>
      <protection hidden="1"/>
    </xf>
    <xf numFmtId="0" fontId="28" fillId="6" borderId="2" xfId="3" applyFont="1" applyFill="1" applyBorder="1" applyAlignment="1">
      <alignment horizontal="left" vertical="center"/>
    </xf>
    <xf numFmtId="0" fontId="28" fillId="6" borderId="2" xfId="3" applyFont="1" applyFill="1" applyBorder="1" applyAlignment="1">
      <alignment horizontal="center" vertical="center" wrapText="1"/>
    </xf>
    <xf numFmtId="0" fontId="28" fillId="6" borderId="2" xfId="3" applyFont="1" applyFill="1" applyBorder="1"/>
    <xf numFmtId="1" fontId="28" fillId="6" borderId="2" xfId="3" applyNumberFormat="1" applyFont="1" applyFill="1" applyBorder="1" applyAlignment="1">
      <alignment horizontal="center"/>
    </xf>
    <xf numFmtId="0" fontId="28" fillId="6" borderId="2" xfId="4" applyFont="1" applyFill="1" applyBorder="1" applyAlignment="1">
      <alignment horizontal="left" vertical="center" wrapText="1"/>
    </xf>
    <xf numFmtId="1" fontId="28" fillId="6" borderId="2" xfId="4" applyNumberFormat="1" applyFont="1" applyFill="1" applyBorder="1" applyAlignment="1">
      <alignment horizontal="center" vertical="center" wrapText="1"/>
    </xf>
    <xf numFmtId="2" fontId="28" fillId="3" borderId="2" xfId="3" applyNumberFormat="1" applyFont="1" applyFill="1" applyBorder="1" applyAlignment="1" applyProtection="1">
      <alignment horizontal="center" vertical="center"/>
      <protection hidden="1"/>
    </xf>
    <xf numFmtId="4" fontId="25" fillId="7" borderId="2" xfId="3" applyNumberFormat="1" applyFont="1" applyFill="1" applyBorder="1" applyAlignment="1" applyProtection="1">
      <alignment horizontal="center" vertical="center"/>
      <protection hidden="1"/>
    </xf>
    <xf numFmtId="4" fontId="25" fillId="3" borderId="2" xfId="3" applyNumberFormat="1" applyFont="1" applyFill="1" applyBorder="1" applyAlignment="1" applyProtection="1">
      <alignment horizontal="center" vertical="center"/>
      <protection hidden="1"/>
    </xf>
    <xf numFmtId="0" fontId="19" fillId="11" borderId="4" xfId="0" applyFont="1" applyFill="1" applyBorder="1" applyAlignment="1">
      <alignment horizontal="center"/>
    </xf>
    <xf numFmtId="0" fontId="5" fillId="0" borderId="2" xfId="0" applyFont="1" applyBorder="1"/>
    <xf numFmtId="1" fontId="0" fillId="3" borderId="2" xfId="0" applyNumberFormat="1" applyFill="1" applyBorder="1" applyAlignment="1">
      <alignment horizontal="center" vertical="center"/>
    </xf>
    <xf numFmtId="165" fontId="15" fillId="7" borderId="2" xfId="0" applyNumberFormat="1" applyFont="1" applyFill="1" applyBorder="1" applyAlignment="1">
      <alignment horizontal="center" vertical="center" wrapText="1"/>
    </xf>
    <xf numFmtId="165" fontId="15" fillId="8" borderId="2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35" fillId="0" borderId="0" xfId="0" applyFont="1" applyAlignment="1">
      <alignment horizontal="left" vertical="center" indent="5"/>
    </xf>
    <xf numFmtId="1" fontId="32" fillId="7" borderId="12" xfId="0" applyNumberFormat="1" applyFont="1" applyFill="1" applyBorder="1" applyAlignment="1">
      <alignment horizontal="center" vertical="center"/>
    </xf>
    <xf numFmtId="49" fontId="0" fillId="0" borderId="2" xfId="0" applyNumberFormat="1" applyFont="1" applyBorder="1" applyAlignment="1">
      <alignment wrapText="1"/>
    </xf>
    <xf numFmtId="0" fontId="13" fillId="7" borderId="17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/>
    </xf>
    <xf numFmtId="0" fontId="13" fillId="3" borderId="2" xfId="0" applyFont="1" applyFill="1" applyBorder="1" applyAlignment="1">
      <alignment horizontal="left"/>
    </xf>
    <xf numFmtId="0" fontId="0" fillId="7" borderId="2" xfId="0" applyFill="1" applyBorder="1" applyAlignment="1">
      <alignment horizontal="center"/>
    </xf>
    <xf numFmtId="1" fontId="28" fillId="6" borderId="2" xfId="4" applyNumberFormat="1" applyFont="1" applyFill="1" applyBorder="1" applyAlignment="1" applyProtection="1">
      <alignment horizontal="center" vertical="center"/>
      <protection hidden="1"/>
    </xf>
    <xf numFmtId="1" fontId="28" fillId="6" borderId="27" xfId="4" applyNumberFormat="1" applyFont="1" applyFill="1" applyBorder="1" applyAlignment="1" applyProtection="1">
      <alignment horizontal="center" vertical="center"/>
      <protection hidden="1"/>
    </xf>
    <xf numFmtId="1" fontId="28" fillId="7" borderId="2" xfId="4" applyNumberFormat="1" applyFont="1" applyFill="1" applyBorder="1" applyAlignment="1" applyProtection="1">
      <alignment horizontal="center" vertical="center"/>
      <protection hidden="1"/>
    </xf>
    <xf numFmtId="3" fontId="25" fillId="7" borderId="2" xfId="3" applyNumberFormat="1" applyFont="1" applyFill="1" applyBorder="1" applyAlignment="1" applyProtection="1">
      <alignment horizontal="center" vertical="center"/>
      <protection hidden="1"/>
    </xf>
    <xf numFmtId="2" fontId="28" fillId="6" borderId="2" xfId="3" applyNumberFormat="1" applyFont="1" applyFill="1" applyBorder="1" applyAlignment="1" applyProtection="1">
      <alignment horizontal="center" vertical="center"/>
      <protection hidden="1"/>
    </xf>
    <xf numFmtId="3" fontId="25" fillId="3" borderId="2" xfId="3" applyNumberFormat="1" applyFont="1" applyFill="1" applyBorder="1" applyAlignment="1" applyProtection="1">
      <alignment horizontal="center" vertical="center"/>
      <protection hidden="1"/>
    </xf>
    <xf numFmtId="2" fontId="28" fillId="6" borderId="2" xfId="3" applyNumberFormat="1" applyFont="1" applyFill="1" applyBorder="1" applyAlignment="1" applyProtection="1">
      <alignment horizontal="center"/>
      <protection hidden="1"/>
    </xf>
    <xf numFmtId="1" fontId="28" fillId="6" borderId="2" xfId="3" applyNumberFormat="1" applyFont="1" applyFill="1" applyBorder="1" applyAlignment="1" applyProtection="1">
      <alignment horizontal="center"/>
      <protection hidden="1"/>
    </xf>
    <xf numFmtId="0" fontId="13" fillId="3" borderId="2" xfId="0" applyFont="1" applyFill="1" applyBorder="1" applyProtection="1">
      <protection hidden="1"/>
    </xf>
    <xf numFmtId="0" fontId="0" fillId="0" borderId="2" xfId="0" applyBorder="1" applyProtection="1">
      <protection hidden="1"/>
    </xf>
    <xf numFmtId="0" fontId="0" fillId="0" borderId="0" xfId="0" applyProtection="1">
      <protection hidden="1"/>
    </xf>
    <xf numFmtId="1" fontId="0" fillId="0" borderId="0" xfId="0" applyNumberFormat="1" applyProtection="1">
      <protection hidden="1"/>
    </xf>
    <xf numFmtId="0" fontId="0" fillId="0" borderId="0" xfId="0" applyBorder="1" applyProtection="1">
      <protection hidden="1"/>
    </xf>
    <xf numFmtId="0" fontId="10" fillId="3" borderId="0" xfId="0" applyFont="1" applyFill="1" applyProtection="1">
      <protection hidden="1"/>
    </xf>
    <xf numFmtId="0" fontId="0" fillId="7" borderId="0" xfId="0" applyFill="1" applyProtection="1">
      <protection hidden="1"/>
    </xf>
    <xf numFmtId="0" fontId="28" fillId="6" borderId="2" xfId="0" applyFont="1" applyFill="1" applyBorder="1" applyAlignment="1" applyProtection="1">
      <alignment horizontal="left" vertical="center"/>
      <protection hidden="1"/>
    </xf>
    <xf numFmtId="0" fontId="28" fillId="6" borderId="2" xfId="0" applyFont="1" applyFill="1" applyBorder="1" applyAlignment="1" applyProtection="1">
      <alignment horizontal="center" vertical="center"/>
      <protection hidden="1"/>
    </xf>
    <xf numFmtId="166" fontId="28" fillId="6" borderId="2" xfId="0" applyNumberFormat="1" applyFont="1" applyFill="1" applyBorder="1" applyAlignment="1" applyProtection="1">
      <alignment horizontal="center" vertical="center"/>
      <protection hidden="1"/>
    </xf>
    <xf numFmtId="0" fontId="28" fillId="6" borderId="2" xfId="4" applyFont="1" applyFill="1" applyBorder="1" applyAlignment="1" applyProtection="1">
      <alignment horizontal="left" vertical="center"/>
      <protection hidden="1"/>
    </xf>
    <xf numFmtId="0" fontId="28" fillId="6" borderId="2" xfId="4" applyFont="1" applyFill="1" applyBorder="1" applyAlignment="1" applyProtection="1">
      <alignment horizontal="center" vertical="center"/>
      <protection hidden="1"/>
    </xf>
    <xf numFmtId="165" fontId="28" fillId="6" borderId="2" xfId="4" applyNumberFormat="1" applyFont="1" applyFill="1" applyBorder="1" applyAlignment="1" applyProtection="1">
      <alignment horizontal="center" vertical="center"/>
      <protection hidden="1"/>
    </xf>
    <xf numFmtId="166" fontId="28" fillId="6" borderId="2" xfId="4" applyNumberFormat="1" applyFont="1" applyFill="1" applyBorder="1" applyAlignment="1" applyProtection="1">
      <alignment horizontal="center" vertical="center"/>
      <protection hidden="1"/>
    </xf>
    <xf numFmtId="0" fontId="13" fillId="3" borderId="0" xfId="0" applyFont="1" applyFill="1" applyProtection="1">
      <protection hidden="1"/>
    </xf>
    <xf numFmtId="1" fontId="10" fillId="3" borderId="0" xfId="0" applyNumberFormat="1" applyFont="1" applyFill="1" applyAlignment="1" applyProtection="1">
      <alignment vertical="center"/>
      <protection hidden="1"/>
    </xf>
    <xf numFmtId="0" fontId="28" fillId="6" borderId="2" xfId="0" applyFont="1" applyFill="1" applyBorder="1" applyProtection="1">
      <protection hidden="1"/>
    </xf>
    <xf numFmtId="0" fontId="13" fillId="3" borderId="4" xfId="0" applyFont="1" applyFill="1" applyBorder="1" applyAlignment="1" applyProtection="1">
      <protection hidden="1"/>
    </xf>
    <xf numFmtId="0" fontId="13" fillId="3" borderId="17" xfId="0" applyFont="1" applyFill="1" applyBorder="1" applyAlignment="1" applyProtection="1">
      <protection hidden="1"/>
    </xf>
    <xf numFmtId="0" fontId="13" fillId="3" borderId="13" xfId="0" applyFont="1" applyFill="1" applyBorder="1" applyAlignment="1" applyProtection="1">
      <protection hidden="1"/>
    </xf>
    <xf numFmtId="0" fontId="28" fillId="6" borderId="2" xfId="3" applyFont="1" applyFill="1" applyBorder="1" applyAlignment="1" applyProtection="1">
      <alignment horizontal="left" vertical="center"/>
      <protection hidden="1"/>
    </xf>
    <xf numFmtId="0" fontId="28" fillId="6" borderId="2" xfId="3" applyFont="1" applyFill="1" applyBorder="1" applyAlignment="1" applyProtection="1">
      <alignment horizontal="center" vertical="center"/>
      <protection hidden="1"/>
    </xf>
    <xf numFmtId="0" fontId="28" fillId="6" borderId="2" xfId="3" applyFont="1" applyFill="1" applyBorder="1" applyAlignment="1" applyProtection="1">
      <alignment horizontal="center" vertical="center" wrapText="1"/>
      <protection hidden="1"/>
    </xf>
    <xf numFmtId="0" fontId="28" fillId="6" borderId="2" xfId="3" applyFont="1" applyFill="1" applyBorder="1" applyAlignment="1" applyProtection="1">
      <alignment vertical="center"/>
      <protection hidden="1"/>
    </xf>
    <xf numFmtId="0" fontId="28" fillId="6" borderId="2" xfId="3" applyFont="1" applyFill="1" applyBorder="1" applyAlignment="1" applyProtection="1">
      <alignment horizontal="center"/>
      <protection hidden="1"/>
    </xf>
    <xf numFmtId="0" fontId="28" fillId="6" borderId="2" xfId="3" applyFont="1" applyFill="1" applyBorder="1" applyProtection="1">
      <protection hidden="1"/>
    </xf>
    <xf numFmtId="0" fontId="28" fillId="6" borderId="2" xfId="4" applyFont="1" applyFill="1" applyBorder="1" applyAlignment="1" applyProtection="1">
      <alignment horizontal="left" vertical="center" wrapText="1"/>
      <protection hidden="1"/>
    </xf>
    <xf numFmtId="1" fontId="28" fillId="6" borderId="2" xfId="4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Protection="1">
      <protection hidden="1"/>
    </xf>
    <xf numFmtId="0" fontId="13" fillId="7" borderId="2" xfId="0" applyFont="1" applyFill="1" applyBorder="1" applyAlignment="1" applyProtection="1">
      <alignment horizontal="left"/>
      <protection hidden="1"/>
    </xf>
    <xf numFmtId="0" fontId="28" fillId="6" borderId="2" xfId="5" applyNumberFormat="1" applyFont="1" applyFill="1" applyBorder="1" applyAlignment="1" applyProtection="1">
      <alignment horizontal="left"/>
      <protection hidden="1"/>
    </xf>
    <xf numFmtId="0" fontId="28" fillId="6" borderId="2" xfId="5" applyFont="1" applyFill="1" applyBorder="1" applyAlignment="1" applyProtection="1">
      <alignment horizontal="right" vertical="center"/>
      <protection hidden="1"/>
    </xf>
    <xf numFmtId="165" fontId="28" fillId="6" borderId="2" xfId="5" applyNumberFormat="1" applyFont="1" applyFill="1" applyBorder="1" applyAlignment="1" applyProtection="1">
      <alignment horizontal="center" vertical="center"/>
      <protection hidden="1"/>
    </xf>
    <xf numFmtId="0" fontId="28" fillId="6" borderId="2" xfId="5" applyFont="1" applyFill="1" applyBorder="1" applyAlignment="1" applyProtection="1">
      <alignment horizontal="center" vertical="center" wrapText="1"/>
      <protection hidden="1"/>
    </xf>
    <xf numFmtId="0" fontId="28" fillId="6" borderId="2" xfId="5" applyFont="1" applyFill="1" applyBorder="1" applyAlignment="1" applyProtection="1">
      <alignment horizontal="center" vertical="center"/>
      <protection hidden="1"/>
    </xf>
    <xf numFmtId="0" fontId="28" fillId="6" borderId="2" xfId="5" applyFont="1" applyFill="1" applyBorder="1" applyAlignment="1" applyProtection="1">
      <alignment horizontal="right"/>
      <protection hidden="1"/>
    </xf>
    <xf numFmtId="165" fontId="28" fillId="6" borderId="2" xfId="5" applyNumberFormat="1" applyFont="1" applyFill="1" applyBorder="1" applyAlignment="1" applyProtection="1">
      <alignment horizontal="center"/>
      <protection hidden="1"/>
    </xf>
    <xf numFmtId="0" fontId="28" fillId="6" borderId="2" xfId="5" applyFont="1" applyFill="1" applyBorder="1" applyAlignment="1" applyProtection="1">
      <alignment horizontal="center"/>
      <protection hidden="1"/>
    </xf>
    <xf numFmtId="0" fontId="13" fillId="7" borderId="2" xfId="0" applyFont="1" applyFill="1" applyBorder="1" applyAlignment="1" applyProtection="1">
      <alignment horizontal="center" vertical="center"/>
      <protection hidden="1"/>
    </xf>
    <xf numFmtId="166" fontId="28" fillId="6" borderId="2" xfId="5" applyNumberFormat="1" applyFont="1" applyFill="1" applyBorder="1" applyAlignment="1" applyProtection="1">
      <alignment horizontal="center"/>
      <protection hidden="1"/>
    </xf>
    <xf numFmtId="166" fontId="28" fillId="6" borderId="2" xfId="5" applyNumberFormat="1" applyFont="1" applyFill="1" applyBorder="1" applyAlignment="1" applyProtection="1">
      <alignment horizontal="center" vertical="center"/>
      <protection hidden="1"/>
    </xf>
    <xf numFmtId="0" fontId="28" fillId="6" borderId="2" xfId="5" applyNumberFormat="1" applyFont="1" applyFill="1" applyBorder="1" applyAlignment="1" applyProtection="1">
      <alignment horizontal="right"/>
      <protection hidden="1"/>
    </xf>
    <xf numFmtId="165" fontId="28" fillId="6" borderId="2" xfId="5" applyNumberFormat="1" applyFont="1" applyFill="1" applyBorder="1" applyAlignment="1" applyProtection="1">
      <alignment horizontal="right"/>
      <protection hidden="1"/>
    </xf>
    <xf numFmtId="1" fontId="28" fillId="6" borderId="2" xfId="5" applyNumberFormat="1" applyFont="1" applyFill="1" applyBorder="1" applyAlignment="1" applyProtection="1">
      <alignment horizontal="right"/>
      <protection hidden="1"/>
    </xf>
    <xf numFmtId="2" fontId="25" fillId="6" borderId="22" xfId="3" applyNumberFormat="1" applyFont="1" applyFill="1" applyBorder="1" applyAlignment="1" applyProtection="1">
      <alignment horizontal="right"/>
      <protection hidden="1"/>
    </xf>
    <xf numFmtId="2" fontId="25" fillId="6" borderId="34" xfId="3" applyNumberFormat="1" applyFont="1" applyFill="1" applyBorder="1" applyAlignment="1" applyProtection="1">
      <alignment horizontal="right"/>
      <protection hidden="1"/>
    </xf>
    <xf numFmtId="2" fontId="25" fillId="6" borderId="27" xfId="3" applyNumberFormat="1" applyFont="1" applyFill="1" applyBorder="1" applyAlignment="1" applyProtection="1">
      <alignment horizontal="right"/>
      <protection hidden="1"/>
    </xf>
    <xf numFmtId="2" fontId="25" fillId="6" borderId="35" xfId="3" applyNumberFormat="1" applyFont="1" applyFill="1" applyBorder="1" applyAlignment="1" applyProtection="1">
      <alignment horizontal="right"/>
      <protection hidden="1"/>
    </xf>
    <xf numFmtId="0" fontId="13" fillId="3" borderId="38" xfId="0" applyFont="1" applyFill="1" applyBorder="1" applyAlignment="1" applyProtection="1">
      <alignment horizontal="center" vertical="center"/>
      <protection hidden="1"/>
    </xf>
    <xf numFmtId="0" fontId="21" fillId="3" borderId="38" xfId="2" applyFont="1" applyFill="1" applyBorder="1" applyAlignment="1" applyProtection="1">
      <alignment horizontal="center" vertical="center"/>
      <protection hidden="1"/>
    </xf>
    <xf numFmtId="0" fontId="13" fillId="7" borderId="17" xfId="0" applyFont="1" applyFill="1" applyBorder="1" applyAlignment="1">
      <alignment horizontal="center" vertical="center" wrapText="1"/>
    </xf>
    <xf numFmtId="0" fontId="13" fillId="14" borderId="51" xfId="0" applyFont="1" applyFill="1" applyBorder="1" applyAlignment="1">
      <alignment horizontal="center" vertical="center"/>
    </xf>
    <xf numFmtId="0" fontId="13" fillId="14" borderId="53" xfId="0" applyFont="1" applyFill="1" applyBorder="1" applyAlignment="1">
      <alignment horizontal="center" vertical="center"/>
    </xf>
    <xf numFmtId="0" fontId="13" fillId="14" borderId="0" xfId="0" applyFont="1" applyFill="1" applyAlignment="1" applyProtection="1">
      <alignment horizontal="center" vertical="center"/>
      <protection hidden="1"/>
    </xf>
    <xf numFmtId="0" fontId="13" fillId="14" borderId="55" xfId="0" applyFont="1" applyFill="1" applyBorder="1" applyAlignment="1">
      <alignment horizontal="center" vertical="center"/>
    </xf>
    <xf numFmtId="0" fontId="13" fillId="14" borderId="54" xfId="0" applyFont="1" applyFill="1" applyBorder="1" applyAlignment="1">
      <alignment horizontal="center" vertical="center"/>
    </xf>
    <xf numFmtId="0" fontId="0" fillId="0" borderId="0" xfId="0" applyFont="1" applyProtection="1">
      <protection hidden="1"/>
    </xf>
    <xf numFmtId="165" fontId="0" fillId="7" borderId="0" xfId="0" applyNumberFormat="1" applyFill="1" applyProtection="1">
      <protection hidden="1"/>
    </xf>
    <xf numFmtId="165" fontId="0" fillId="0" borderId="0" xfId="0" applyNumberFormat="1" applyFill="1" applyProtection="1">
      <protection hidden="1"/>
    </xf>
    <xf numFmtId="165" fontId="0" fillId="16" borderId="0" xfId="0" applyNumberFormat="1" applyFill="1" applyProtection="1">
      <protection hidden="1"/>
    </xf>
    <xf numFmtId="0" fontId="0" fillId="0" borderId="0" xfId="0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2" xfId="0" applyFon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0" borderId="9" xfId="0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165" fontId="0" fillId="3" borderId="2" xfId="0" applyNumberFormat="1" applyFill="1" applyBorder="1" applyAlignment="1">
      <alignment horizontal="center" vertical="center"/>
    </xf>
    <xf numFmtId="0" fontId="40" fillId="0" borderId="2" xfId="5" applyFont="1" applyBorder="1" applyAlignment="1" applyProtection="1">
      <alignment horizontal="center" vertical="center"/>
      <protection hidden="1"/>
    </xf>
    <xf numFmtId="165" fontId="26" fillId="0" borderId="2" xfId="8" applyNumberFormat="1" applyFont="1" applyFill="1" applyBorder="1" applyAlignment="1" applyProtection="1">
      <alignment horizontal="center" vertical="center" wrapText="1"/>
      <protection hidden="1"/>
    </xf>
    <xf numFmtId="0" fontId="40" fillId="0" borderId="43" xfId="5" applyFont="1" applyBorder="1" applyAlignment="1" applyProtection="1">
      <alignment horizontal="center" vertical="center"/>
      <protection hidden="1"/>
    </xf>
    <xf numFmtId="165" fontId="26" fillId="0" borderId="43" xfId="8" applyNumberFormat="1" applyFont="1" applyFill="1" applyBorder="1" applyAlignment="1" applyProtection="1">
      <alignment horizontal="center" vertical="center" wrapText="1"/>
      <protection hidden="1"/>
    </xf>
    <xf numFmtId="0" fontId="40" fillId="0" borderId="75" xfId="5" applyFont="1" applyBorder="1" applyAlignment="1" applyProtection="1">
      <alignment horizontal="center" vertical="center"/>
      <protection hidden="1"/>
    </xf>
    <xf numFmtId="0" fontId="39" fillId="0" borderId="81" xfId="5" applyFont="1" applyBorder="1" applyAlignment="1" applyProtection="1">
      <alignment horizontal="center" vertical="center" wrapText="1"/>
      <protection hidden="1"/>
    </xf>
    <xf numFmtId="0" fontId="41" fillId="0" borderId="0" xfId="0" applyFont="1"/>
    <xf numFmtId="164" fontId="0" fillId="0" borderId="0" xfId="0" applyNumberFormat="1"/>
    <xf numFmtId="0" fontId="4" fillId="0" borderId="0" xfId="0" applyFont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19" borderId="0" xfId="0" applyFont="1" applyFill="1" applyAlignment="1">
      <alignment horizontal="center" vertical="center"/>
    </xf>
    <xf numFmtId="0" fontId="28" fillId="0" borderId="12" xfId="8" applyFont="1" applyFill="1" applyBorder="1" applyAlignment="1" applyProtection="1">
      <alignment horizontal="left" vertical="center" wrapText="1"/>
      <protection hidden="1"/>
    </xf>
    <xf numFmtId="165" fontId="28" fillId="0" borderId="12" xfId="8" applyNumberFormat="1" applyFont="1" applyFill="1" applyBorder="1" applyAlignment="1" applyProtection="1">
      <alignment horizontal="center" vertical="center" wrapText="1"/>
      <protection hidden="1"/>
    </xf>
    <xf numFmtId="0" fontId="28" fillId="0" borderId="12" xfId="8" applyFont="1" applyFill="1" applyBorder="1" applyAlignment="1" applyProtection="1">
      <alignment horizontal="center" vertical="center" wrapText="1"/>
      <protection hidden="1"/>
    </xf>
    <xf numFmtId="0" fontId="4" fillId="0" borderId="12" xfId="5" applyFont="1" applyBorder="1" applyAlignment="1" applyProtection="1">
      <alignment horizontal="center" vertical="center"/>
      <protection hidden="1"/>
    </xf>
    <xf numFmtId="0" fontId="42" fillId="0" borderId="2" xfId="8" applyFont="1" applyFill="1" applyBorder="1" applyAlignment="1" applyProtection="1">
      <alignment horizontal="left" vertical="center" wrapText="1"/>
      <protection hidden="1"/>
    </xf>
    <xf numFmtId="165" fontId="42" fillId="0" borderId="2" xfId="8" applyNumberFormat="1" applyFont="1" applyFill="1" applyBorder="1" applyAlignment="1" applyProtection="1">
      <alignment horizontal="center" vertical="center" wrapText="1"/>
      <protection hidden="1"/>
    </xf>
    <xf numFmtId="0" fontId="42" fillId="0" borderId="2" xfId="8" applyFont="1" applyFill="1" applyBorder="1" applyAlignment="1" applyProtection="1">
      <alignment horizontal="center" vertical="center" wrapText="1"/>
      <protection hidden="1"/>
    </xf>
    <xf numFmtId="0" fontId="15" fillId="0" borderId="2" xfId="5" applyFont="1" applyBorder="1" applyAlignment="1" applyProtection="1">
      <alignment horizontal="center" vertical="center"/>
      <protection hidden="1"/>
    </xf>
    <xf numFmtId="0" fontId="28" fillId="0" borderId="2" xfId="8" applyFont="1" applyFill="1" applyBorder="1" applyAlignment="1" applyProtection="1">
      <alignment horizontal="left" vertical="center" wrapText="1"/>
      <protection hidden="1"/>
    </xf>
    <xf numFmtId="165" fontId="28" fillId="0" borderId="2" xfId="8" applyNumberFormat="1" applyFont="1" applyFill="1" applyBorder="1" applyAlignment="1" applyProtection="1">
      <alignment horizontal="center" vertical="center" wrapText="1"/>
      <protection hidden="1"/>
    </xf>
    <xf numFmtId="0" fontId="28" fillId="0" borderId="2" xfId="8" applyFont="1" applyFill="1" applyBorder="1" applyAlignment="1" applyProtection="1">
      <alignment horizontal="center" vertical="center" wrapText="1"/>
      <protection hidden="1"/>
    </xf>
    <xf numFmtId="0" fontId="4" fillId="0" borderId="2" xfId="5" applyFont="1" applyBorder="1" applyAlignment="1" applyProtection="1">
      <alignment horizontal="center" vertical="center"/>
      <protection hidden="1"/>
    </xf>
    <xf numFmtId="0" fontId="28" fillId="0" borderId="43" xfId="8" applyFont="1" applyFill="1" applyBorder="1" applyAlignment="1" applyProtection="1">
      <alignment horizontal="left" vertical="center" wrapText="1"/>
      <protection hidden="1"/>
    </xf>
    <xf numFmtId="165" fontId="28" fillId="0" borderId="43" xfId="8" applyNumberFormat="1" applyFont="1" applyFill="1" applyBorder="1" applyAlignment="1" applyProtection="1">
      <alignment horizontal="center" vertical="center" wrapText="1"/>
      <protection hidden="1"/>
    </xf>
    <xf numFmtId="0" fontId="28" fillId="0" borderId="43" xfId="8" applyFont="1" applyFill="1" applyBorder="1" applyAlignment="1" applyProtection="1">
      <alignment horizontal="center" vertical="center" wrapText="1"/>
      <protection hidden="1"/>
    </xf>
    <xf numFmtId="0" fontId="4" fillId="0" borderId="43" xfId="5" applyFont="1" applyBorder="1" applyAlignment="1" applyProtection="1">
      <alignment horizontal="center" vertical="center"/>
      <protection hidden="1"/>
    </xf>
    <xf numFmtId="0" fontId="28" fillId="0" borderId="75" xfId="8" applyFont="1" applyFill="1" applyBorder="1" applyAlignment="1" applyProtection="1">
      <alignment horizontal="left" vertical="center" wrapText="1"/>
      <protection hidden="1"/>
    </xf>
    <xf numFmtId="165" fontId="28" fillId="0" borderId="75" xfId="8" applyNumberFormat="1" applyFont="1" applyFill="1" applyBorder="1" applyAlignment="1" applyProtection="1">
      <alignment horizontal="center" vertical="center" wrapText="1"/>
      <protection hidden="1"/>
    </xf>
    <xf numFmtId="0" fontId="28" fillId="0" borderId="75" xfId="8" applyFont="1" applyFill="1" applyBorder="1" applyAlignment="1" applyProtection="1">
      <alignment horizontal="center" vertical="center" wrapText="1"/>
      <protection hidden="1"/>
    </xf>
    <xf numFmtId="0" fontId="4" fillId="0" borderId="75" xfId="5" applyFont="1" applyBorder="1" applyAlignment="1" applyProtection="1">
      <alignment horizontal="center" vertical="center"/>
      <protection hidden="1"/>
    </xf>
    <xf numFmtId="1" fontId="28" fillId="19" borderId="75" xfId="9" applyNumberFormat="1" applyFont="1" applyFill="1" applyBorder="1" applyAlignment="1" applyProtection="1">
      <alignment horizontal="center" vertical="center"/>
      <protection hidden="1"/>
    </xf>
    <xf numFmtId="1" fontId="28" fillId="17" borderId="57" xfId="9" applyNumberFormat="1" applyFont="1" applyFill="1" applyBorder="1" applyAlignment="1" applyProtection="1">
      <alignment horizontal="center" vertical="center"/>
      <protection hidden="1"/>
    </xf>
    <xf numFmtId="1" fontId="42" fillId="19" borderId="6" xfId="9" applyNumberFormat="1" applyFont="1" applyFill="1" applyBorder="1" applyAlignment="1" applyProtection="1">
      <alignment horizontal="center" vertical="center"/>
      <protection hidden="1"/>
    </xf>
    <xf numFmtId="1" fontId="42" fillId="17" borderId="57" xfId="9" applyNumberFormat="1" applyFont="1" applyFill="1" applyBorder="1" applyAlignment="1" applyProtection="1">
      <alignment horizontal="center" vertical="center"/>
      <protection hidden="1"/>
    </xf>
    <xf numFmtId="1" fontId="28" fillId="19" borderId="6" xfId="9" applyNumberFormat="1" applyFont="1" applyFill="1" applyBorder="1" applyAlignment="1" applyProtection="1">
      <alignment horizontal="center" vertical="center"/>
      <protection hidden="1"/>
    </xf>
    <xf numFmtId="1" fontId="28" fillId="19" borderId="86" xfId="9" applyNumberFormat="1" applyFont="1" applyFill="1" applyBorder="1" applyAlignment="1" applyProtection="1">
      <alignment horizontal="center" vertical="center"/>
      <protection hidden="1"/>
    </xf>
    <xf numFmtId="1" fontId="28" fillId="17" borderId="78" xfId="9" applyNumberFormat="1" applyFont="1" applyFill="1" applyBorder="1" applyAlignment="1" applyProtection="1">
      <alignment horizontal="center" vertical="center"/>
      <protection hidden="1"/>
    </xf>
    <xf numFmtId="1" fontId="28" fillId="17" borderId="76" xfId="9" applyNumberFormat="1" applyFont="1" applyFill="1" applyBorder="1" applyAlignment="1" applyProtection="1">
      <alignment horizontal="center" vertical="center"/>
      <protection hidden="1"/>
    </xf>
    <xf numFmtId="1" fontId="42" fillId="19" borderId="2" xfId="9" applyNumberFormat="1" applyFont="1" applyFill="1" applyBorder="1" applyAlignment="1" applyProtection="1">
      <alignment horizontal="center" vertical="center"/>
      <protection hidden="1"/>
    </xf>
    <xf numFmtId="1" fontId="42" fillId="17" borderId="62" xfId="9" applyNumberFormat="1" applyFont="1" applyFill="1" applyBorder="1" applyAlignment="1" applyProtection="1">
      <alignment horizontal="center" vertical="center"/>
      <protection hidden="1"/>
    </xf>
    <xf numFmtId="1" fontId="28" fillId="19" borderId="2" xfId="9" applyNumberFormat="1" applyFont="1" applyFill="1" applyBorder="1" applyAlignment="1" applyProtection="1">
      <alignment horizontal="center" vertical="center"/>
      <protection hidden="1"/>
    </xf>
    <xf numFmtId="1" fontId="28" fillId="17" borderId="62" xfId="9" applyNumberFormat="1" applyFont="1" applyFill="1" applyBorder="1" applyAlignment="1" applyProtection="1">
      <alignment horizontal="center" vertical="center"/>
      <protection hidden="1"/>
    </xf>
    <xf numFmtId="1" fontId="28" fillId="19" borderId="43" xfId="9" applyNumberFormat="1" applyFont="1" applyFill="1" applyBorder="1" applyAlignment="1" applyProtection="1">
      <alignment horizontal="center" vertical="center"/>
      <protection hidden="1"/>
    </xf>
    <xf numFmtId="1" fontId="28" fillId="17" borderId="59" xfId="9" applyNumberFormat="1" applyFont="1" applyFill="1" applyBorder="1" applyAlignment="1" applyProtection="1">
      <alignment horizontal="center" vertical="center"/>
      <protection hidden="1"/>
    </xf>
    <xf numFmtId="0" fontId="27" fillId="0" borderId="0" xfId="5" applyProtection="1">
      <protection hidden="1"/>
    </xf>
    <xf numFmtId="164" fontId="28" fillId="0" borderId="75" xfId="9" applyFont="1" applyBorder="1" applyAlignment="1" applyProtection="1">
      <alignment horizontal="center" vertical="center"/>
      <protection hidden="1"/>
    </xf>
    <xf numFmtId="164" fontId="28" fillId="0" borderId="2" xfId="9" applyFont="1" applyBorder="1" applyAlignment="1" applyProtection="1">
      <alignment horizontal="center" vertical="center"/>
      <protection hidden="1"/>
    </xf>
    <xf numFmtId="164" fontId="28" fillId="0" borderId="43" xfId="9" applyFont="1" applyBorder="1" applyAlignment="1" applyProtection="1">
      <alignment horizontal="center" vertical="center"/>
      <protection hidden="1"/>
    </xf>
    <xf numFmtId="164" fontId="28" fillId="0" borderId="12" xfId="9" applyFont="1" applyBorder="1" applyAlignment="1" applyProtection="1">
      <alignment horizontal="center" vertical="center"/>
      <protection hidden="1"/>
    </xf>
    <xf numFmtId="0" fontId="28" fillId="0" borderId="74" xfId="8" applyFont="1" applyFill="1" applyBorder="1" applyAlignment="1" applyProtection="1">
      <alignment horizontal="left" vertical="center" wrapText="1"/>
      <protection hidden="1"/>
    </xf>
    <xf numFmtId="0" fontId="28" fillId="0" borderId="60" xfId="8" applyFont="1" applyFill="1" applyBorder="1" applyAlignment="1" applyProtection="1">
      <alignment horizontal="left" vertical="center" wrapText="1"/>
      <protection hidden="1"/>
    </xf>
    <xf numFmtId="0" fontId="28" fillId="0" borderId="58" xfId="8" applyFont="1" applyFill="1" applyBorder="1" applyAlignment="1" applyProtection="1">
      <alignment horizontal="left" vertical="center" wrapText="1"/>
      <protection hidden="1"/>
    </xf>
    <xf numFmtId="0" fontId="28" fillId="0" borderId="56" xfId="8" applyFont="1" applyFill="1" applyBorder="1" applyAlignment="1" applyProtection="1">
      <alignment horizontal="left" vertical="center" wrapText="1"/>
      <protection hidden="1"/>
    </xf>
    <xf numFmtId="0" fontId="27" fillId="19" borderId="0" xfId="5" applyFill="1" applyProtection="1">
      <protection hidden="1"/>
    </xf>
    <xf numFmtId="1" fontId="28" fillId="19" borderId="12" xfId="9" applyNumberFormat="1" applyFont="1" applyFill="1" applyBorder="1" applyAlignment="1" applyProtection="1">
      <alignment horizontal="center" vertical="center"/>
      <protection hidden="1"/>
    </xf>
    <xf numFmtId="0" fontId="27" fillId="0" borderId="0" xfId="5" applyFill="1" applyProtection="1">
      <protection hidden="1"/>
    </xf>
    <xf numFmtId="0" fontId="36" fillId="15" borderId="38" xfId="6" applyFill="1" applyBorder="1" applyAlignment="1">
      <alignment horizontal="center" vertical="center"/>
    </xf>
    <xf numFmtId="165" fontId="40" fillId="0" borderId="75" xfId="5" applyNumberFormat="1" applyFont="1" applyBorder="1" applyAlignment="1" applyProtection="1">
      <alignment horizontal="center" vertical="center"/>
      <protection hidden="1"/>
    </xf>
    <xf numFmtId="165" fontId="26" fillId="0" borderId="75" xfId="8" applyNumberFormat="1" applyFont="1" applyFill="1" applyBorder="1" applyAlignment="1" applyProtection="1">
      <alignment horizontal="center" wrapText="1"/>
      <protection hidden="1"/>
    </xf>
    <xf numFmtId="0" fontId="26" fillId="0" borderId="75" xfId="8" applyFont="1" applyFill="1" applyBorder="1" applyAlignment="1" applyProtection="1">
      <alignment horizontal="center" wrapText="1"/>
      <protection hidden="1"/>
    </xf>
    <xf numFmtId="165" fontId="26" fillId="0" borderId="2" xfId="8" applyNumberFormat="1" applyFont="1" applyFill="1" applyBorder="1" applyAlignment="1" applyProtection="1">
      <alignment horizontal="center" wrapText="1"/>
      <protection hidden="1"/>
    </xf>
    <xf numFmtId="0" fontId="26" fillId="0" borderId="2" xfId="8" applyFont="1" applyFill="1" applyBorder="1" applyAlignment="1" applyProtection="1">
      <alignment horizontal="center" wrapText="1"/>
      <protection hidden="1"/>
    </xf>
    <xf numFmtId="165" fontId="26" fillId="0" borderId="43" xfId="8" applyNumberFormat="1" applyFont="1" applyFill="1" applyBorder="1" applyAlignment="1" applyProtection="1">
      <alignment horizontal="center" wrapText="1"/>
      <protection hidden="1"/>
    </xf>
    <xf numFmtId="0" fontId="26" fillId="0" borderId="43" xfId="8" applyFont="1" applyFill="1" applyBorder="1" applyAlignment="1" applyProtection="1">
      <alignment horizontal="center" wrapText="1"/>
      <protection hidden="1"/>
    </xf>
    <xf numFmtId="0" fontId="27" fillId="0" borderId="70" xfId="5" applyBorder="1" applyProtection="1">
      <protection hidden="1"/>
    </xf>
    <xf numFmtId="0" fontId="27" fillId="0" borderId="89" xfId="5" applyBorder="1" applyProtection="1">
      <protection hidden="1"/>
    </xf>
    <xf numFmtId="9" fontId="27" fillId="0" borderId="90" xfId="5" applyNumberFormat="1" applyBorder="1" applyProtection="1">
      <protection hidden="1"/>
    </xf>
    <xf numFmtId="9" fontId="27" fillId="0" borderId="88" xfId="5" applyNumberFormat="1" applyBorder="1" applyProtection="1">
      <protection hidden="1"/>
    </xf>
    <xf numFmtId="1" fontId="27" fillId="0" borderId="0" xfId="5" applyNumberFormat="1" applyProtection="1">
      <protection hidden="1"/>
    </xf>
    <xf numFmtId="0" fontId="0" fillId="0" borderId="0" xfId="0" applyFill="1"/>
    <xf numFmtId="0" fontId="42" fillId="19" borderId="40" xfId="5" applyFont="1" applyFill="1" applyBorder="1" applyAlignment="1" applyProtection="1">
      <alignment horizontal="center" vertical="center" wrapText="1"/>
      <protection hidden="1"/>
    </xf>
    <xf numFmtId="0" fontId="42" fillId="17" borderId="41" xfId="5" applyFont="1" applyFill="1" applyBorder="1" applyAlignment="1" applyProtection="1">
      <alignment horizontal="center" vertical="center" wrapText="1"/>
      <protection hidden="1"/>
    </xf>
    <xf numFmtId="1" fontId="28" fillId="0" borderId="2" xfId="9" applyNumberFormat="1" applyFont="1" applyFill="1" applyBorder="1" applyAlignment="1" applyProtection="1">
      <alignment horizontal="center" vertical="center"/>
      <protection hidden="1"/>
    </xf>
    <xf numFmtId="0" fontId="0" fillId="18" borderId="0" xfId="0" applyFill="1"/>
    <xf numFmtId="0" fontId="0" fillId="19" borderId="0" xfId="0" applyFill="1"/>
    <xf numFmtId="1" fontId="28" fillId="0" borderId="43" xfId="9" applyNumberFormat="1" applyFont="1" applyFill="1" applyBorder="1" applyAlignment="1" applyProtection="1">
      <alignment horizontal="center" vertical="center"/>
      <protection hidden="1"/>
    </xf>
    <xf numFmtId="0" fontId="39" fillId="19" borderId="75" xfId="5" applyFont="1" applyFill="1" applyBorder="1" applyAlignment="1" applyProtection="1">
      <alignment horizontal="center" vertical="center" wrapText="1"/>
      <protection hidden="1"/>
    </xf>
    <xf numFmtId="0" fontId="13" fillId="0" borderId="0" xfId="6" applyFont="1" applyFill="1" applyBorder="1" applyAlignment="1">
      <alignment vertical="center"/>
    </xf>
    <xf numFmtId="0" fontId="36" fillId="0" borderId="12" xfId="6" applyFill="1" applyBorder="1" applyAlignment="1">
      <alignment vertical="center"/>
    </xf>
    <xf numFmtId="0" fontId="0" fillId="0" borderId="0" xfId="0" applyFill="1" applyAlignment="1" applyProtection="1">
      <alignment horizontal="center"/>
      <protection hidden="1"/>
    </xf>
    <xf numFmtId="0" fontId="13" fillId="18" borderId="38" xfId="0" applyFont="1" applyFill="1" applyBorder="1" applyAlignment="1" applyProtection="1">
      <alignment horizontal="center"/>
      <protection hidden="1"/>
    </xf>
    <xf numFmtId="0" fontId="0" fillId="18" borderId="0" xfId="0" applyFill="1" applyProtection="1">
      <protection hidden="1"/>
    </xf>
    <xf numFmtId="2" fontId="0" fillId="18" borderId="0" xfId="0" applyNumberFormat="1" applyFill="1" applyProtection="1">
      <protection hidden="1"/>
    </xf>
    <xf numFmtId="165" fontId="0" fillId="18" borderId="0" xfId="0" applyNumberFormat="1" applyFill="1" applyProtection="1">
      <protection hidden="1"/>
    </xf>
    <xf numFmtId="2" fontId="19" fillId="18" borderId="39" xfId="0" applyNumberFormat="1" applyFont="1" applyFill="1" applyBorder="1" applyAlignment="1" applyProtection="1">
      <alignment horizontal="center" vertical="center"/>
      <protection hidden="1"/>
    </xf>
    <xf numFmtId="165" fontId="19" fillId="18" borderId="40" xfId="0" applyNumberFormat="1" applyFont="1" applyFill="1" applyBorder="1" applyAlignment="1" applyProtection="1">
      <alignment horizontal="center" vertical="center"/>
      <protection hidden="1"/>
    </xf>
    <xf numFmtId="165" fontId="15" fillId="18" borderId="4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Fill="1" applyProtection="1">
      <protection hidden="1"/>
    </xf>
    <xf numFmtId="165" fontId="13" fillId="18" borderId="83" xfId="0" applyNumberFormat="1" applyFont="1" applyFill="1" applyBorder="1" applyAlignment="1" applyProtection="1">
      <alignment horizontal="center"/>
      <protection hidden="1"/>
    </xf>
    <xf numFmtId="165" fontId="13" fillId="18" borderId="77" xfId="0" applyNumberFormat="1" applyFont="1" applyFill="1" applyBorder="1" applyAlignment="1" applyProtection="1">
      <alignment horizontal="center"/>
      <protection hidden="1"/>
    </xf>
    <xf numFmtId="165" fontId="13" fillId="18" borderId="78" xfId="0" applyNumberFormat="1" applyFont="1" applyFill="1" applyBorder="1" applyAlignment="1" applyProtection="1">
      <alignment horizontal="center"/>
      <protection hidden="1"/>
    </xf>
    <xf numFmtId="0" fontId="15" fillId="3" borderId="4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1" fontId="28" fillId="0" borderId="60" xfId="9" applyNumberFormat="1" applyFont="1" applyFill="1" applyBorder="1" applyAlignment="1" applyProtection="1">
      <alignment horizontal="center" vertical="center"/>
      <protection hidden="1"/>
    </xf>
    <xf numFmtId="1" fontId="28" fillId="0" borderId="58" xfId="9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42" fillId="10" borderId="39" xfId="5" applyFont="1" applyFill="1" applyBorder="1" applyAlignment="1" applyProtection="1">
      <alignment horizontal="center" vertical="center" wrapText="1"/>
      <protection hidden="1"/>
    </xf>
    <xf numFmtId="0" fontId="42" fillId="10" borderId="40" xfId="5" applyFont="1" applyFill="1" applyBorder="1" applyAlignment="1" applyProtection="1">
      <alignment horizontal="center" vertical="center" wrapText="1"/>
      <protection hidden="1"/>
    </xf>
    <xf numFmtId="0" fontId="39" fillId="10" borderId="87" xfId="5" applyFont="1" applyFill="1" applyBorder="1" applyAlignment="1" applyProtection="1">
      <alignment horizontal="center" vertical="center" wrapText="1"/>
      <protection hidden="1"/>
    </xf>
    <xf numFmtId="0" fontId="39" fillId="10" borderId="81" xfId="5" applyFont="1" applyFill="1" applyBorder="1" applyAlignment="1" applyProtection="1">
      <alignment horizontal="center" vertical="center" wrapText="1"/>
      <protection hidden="1"/>
    </xf>
    <xf numFmtId="0" fontId="39" fillId="10" borderId="74" xfId="5" applyFont="1" applyFill="1" applyBorder="1" applyAlignment="1" applyProtection="1">
      <alignment horizontal="center" vertical="center" wrapText="1"/>
      <protection hidden="1"/>
    </xf>
    <xf numFmtId="0" fontId="39" fillId="10" borderId="75" xfId="5" applyFont="1" applyFill="1" applyBorder="1" applyAlignment="1" applyProtection="1">
      <alignment horizontal="center" vertical="center" wrapText="1"/>
      <protection hidden="1"/>
    </xf>
    <xf numFmtId="0" fontId="14" fillId="0" borderId="0" xfId="1"/>
    <xf numFmtId="0" fontId="14" fillId="0" borderId="0" xfId="1" applyBorder="1" applyAlignment="1">
      <alignment vertical="center" wrapText="1"/>
    </xf>
    <xf numFmtId="1" fontId="45" fillId="0" borderId="0" xfId="1" applyNumberFormat="1" applyFont="1" applyBorder="1" applyAlignment="1">
      <alignment vertical="center" wrapText="1"/>
    </xf>
    <xf numFmtId="0" fontId="46" fillId="0" borderId="0" xfId="1" applyFont="1" applyBorder="1" applyAlignment="1">
      <alignment horizontal="right"/>
    </xf>
    <xf numFmtId="0" fontId="44" fillId="0" borderId="0" xfId="1" applyFont="1" applyFill="1" applyBorder="1" applyAlignment="1">
      <alignment vertical="center"/>
    </xf>
    <xf numFmtId="1" fontId="45" fillId="0" borderId="0" xfId="1" applyNumberFormat="1" applyFont="1" applyBorder="1" applyAlignment="1">
      <alignment vertical="center"/>
    </xf>
    <xf numFmtId="0" fontId="44" fillId="0" borderId="0" xfId="1" applyFont="1" applyFill="1" applyBorder="1" applyAlignment="1">
      <alignment horizontal="center" vertical="center"/>
    </xf>
    <xf numFmtId="0" fontId="14" fillId="0" borderId="0" xfId="1" applyBorder="1" applyAlignment="1">
      <alignment horizontal="center" vertical="center" wrapText="1"/>
    </xf>
    <xf numFmtId="0" fontId="47" fillId="0" borderId="65" xfId="0" applyFont="1" applyFill="1" applyBorder="1" applyProtection="1">
      <protection hidden="1"/>
    </xf>
    <xf numFmtId="0" fontId="47" fillId="0" borderId="63" xfId="0" applyFont="1" applyBorder="1" applyProtection="1">
      <protection hidden="1"/>
    </xf>
    <xf numFmtId="1" fontId="47" fillId="18" borderId="56" xfId="0" applyNumberFormat="1" applyFont="1" applyFill="1" applyBorder="1" applyAlignment="1" applyProtection="1">
      <alignment horizontal="center" vertical="center"/>
      <protection hidden="1"/>
    </xf>
    <xf numFmtId="1" fontId="47" fillId="18" borderId="12" xfId="0" applyNumberFormat="1" applyFont="1" applyFill="1" applyBorder="1" applyAlignment="1" applyProtection="1">
      <alignment horizontal="center" vertical="center"/>
      <protection hidden="1"/>
    </xf>
    <xf numFmtId="1" fontId="47" fillId="18" borderId="57" xfId="0" applyNumberFormat="1" applyFont="1" applyFill="1" applyBorder="1" applyAlignment="1" applyProtection="1">
      <alignment horizontal="center" vertical="center"/>
      <protection hidden="1"/>
    </xf>
    <xf numFmtId="1" fontId="47" fillId="18" borderId="2" xfId="0" applyNumberFormat="1" applyFont="1" applyFill="1" applyBorder="1" applyAlignment="1" applyProtection="1">
      <alignment horizontal="center" vertical="center"/>
      <protection hidden="1"/>
    </xf>
    <xf numFmtId="0" fontId="47" fillId="0" borderId="64" xfId="0" applyFont="1" applyFill="1" applyBorder="1" applyProtection="1">
      <protection hidden="1"/>
    </xf>
    <xf numFmtId="1" fontId="47" fillId="18" borderId="58" xfId="0" applyNumberFormat="1" applyFont="1" applyFill="1" applyBorder="1" applyAlignment="1" applyProtection="1">
      <alignment horizontal="center" vertical="center"/>
      <protection hidden="1"/>
    </xf>
    <xf numFmtId="1" fontId="47" fillId="18" borderId="43" xfId="0" applyNumberFormat="1" applyFont="1" applyFill="1" applyBorder="1" applyAlignment="1" applyProtection="1">
      <alignment horizontal="center" vertical="center"/>
      <protection hidden="1"/>
    </xf>
    <xf numFmtId="1" fontId="47" fillId="18" borderId="59" xfId="0" applyNumberFormat="1" applyFont="1" applyFill="1" applyBorder="1" applyAlignment="1" applyProtection="1">
      <alignment horizontal="center" vertical="center"/>
      <protection hidden="1"/>
    </xf>
    <xf numFmtId="1" fontId="38" fillId="18" borderId="74" xfId="0" applyNumberFormat="1" applyFont="1" applyFill="1" applyBorder="1" applyAlignment="1" applyProtection="1">
      <alignment horizontal="center"/>
      <protection hidden="1"/>
    </xf>
    <xf numFmtId="1" fontId="38" fillId="18" borderId="56" xfId="0" applyNumberFormat="1" applyFont="1" applyFill="1" applyBorder="1" applyAlignment="1" applyProtection="1">
      <alignment horizontal="center"/>
      <protection hidden="1"/>
    </xf>
    <xf numFmtId="1" fontId="38" fillId="18" borderId="83" xfId="0" applyNumberFormat="1" applyFont="1" applyFill="1" applyBorder="1" applyAlignment="1" applyProtection="1">
      <alignment horizontal="center"/>
      <protection hidden="1"/>
    </xf>
    <xf numFmtId="0" fontId="38" fillId="0" borderId="3" xfId="0" applyFont="1" applyBorder="1" applyAlignment="1" applyProtection="1">
      <alignment horizontal="center" vertical="center"/>
      <protection hidden="1"/>
    </xf>
    <xf numFmtId="1" fontId="38" fillId="18" borderId="68" xfId="0" applyNumberFormat="1" applyFont="1" applyFill="1" applyBorder="1" applyAlignment="1" applyProtection="1">
      <alignment horizontal="center" vertical="center"/>
      <protection hidden="1"/>
    </xf>
    <xf numFmtId="0" fontId="38" fillId="0" borderId="3" xfId="0" applyFont="1" applyFill="1" applyBorder="1" applyAlignment="1" applyProtection="1">
      <alignment horizontal="center" vertical="center"/>
      <protection hidden="1"/>
    </xf>
    <xf numFmtId="0" fontId="38" fillId="0" borderId="36" xfId="0" applyFont="1" applyFill="1" applyBorder="1" applyAlignment="1" applyProtection="1">
      <alignment horizontal="center" vertical="center"/>
      <protection hidden="1"/>
    </xf>
    <xf numFmtId="1" fontId="38" fillId="18" borderId="39" xfId="0" applyNumberFormat="1" applyFont="1" applyFill="1" applyBorder="1" applyAlignment="1" applyProtection="1">
      <alignment horizontal="center" vertical="center"/>
      <protection hidden="1"/>
    </xf>
    <xf numFmtId="0" fontId="47" fillId="0" borderId="36" xfId="0" applyFont="1" applyFill="1" applyBorder="1" applyAlignment="1" applyProtection="1">
      <alignment horizontal="center" vertical="center"/>
      <protection hidden="1"/>
    </xf>
    <xf numFmtId="1" fontId="47" fillId="18" borderId="39" xfId="0" applyNumberFormat="1" applyFont="1" applyFill="1" applyBorder="1" applyAlignment="1" applyProtection="1">
      <alignment horizontal="center" vertical="center"/>
      <protection hidden="1"/>
    </xf>
    <xf numFmtId="0" fontId="47" fillId="0" borderId="65" xfId="0" applyFont="1" applyBorder="1" applyProtection="1">
      <protection hidden="1"/>
    </xf>
    <xf numFmtId="0" fontId="47" fillId="0" borderId="66" xfId="0" applyFont="1" applyBorder="1" applyProtection="1">
      <protection hidden="1"/>
    </xf>
    <xf numFmtId="1" fontId="47" fillId="18" borderId="11" xfId="0" applyNumberFormat="1" applyFont="1" applyFill="1" applyBorder="1" applyAlignment="1" applyProtection="1">
      <alignment horizontal="center" vertical="center"/>
      <protection hidden="1"/>
    </xf>
    <xf numFmtId="0" fontId="47" fillId="0" borderId="2" xfId="0" applyFont="1" applyBorder="1" applyProtection="1">
      <protection hidden="1"/>
    </xf>
    <xf numFmtId="0" fontId="47" fillId="18" borderId="2" xfId="0" applyFont="1" applyFill="1" applyBorder="1" applyAlignment="1">
      <alignment horizontal="center" vertical="center"/>
    </xf>
    <xf numFmtId="0" fontId="47" fillId="18" borderId="4" xfId="0" applyFont="1" applyFill="1" applyBorder="1" applyAlignment="1">
      <alignment horizontal="center" vertical="center"/>
    </xf>
    <xf numFmtId="1" fontId="47" fillId="18" borderId="12" xfId="0" applyNumberFormat="1" applyFont="1" applyFill="1" applyBorder="1" applyAlignment="1" applyProtection="1">
      <alignment horizontal="center"/>
      <protection hidden="1"/>
    </xf>
    <xf numFmtId="0" fontId="47" fillId="0" borderId="56" xfId="0" applyFont="1" applyBorder="1" applyAlignment="1" applyProtection="1">
      <alignment horizontal="center" vertical="center"/>
      <protection hidden="1"/>
    </xf>
    <xf numFmtId="0" fontId="47" fillId="0" borderId="60" xfId="0" applyFont="1" applyFill="1" applyBorder="1" applyAlignment="1" applyProtection="1">
      <alignment horizontal="center" vertical="center"/>
      <protection hidden="1"/>
    </xf>
    <xf numFmtId="0" fontId="47" fillId="0" borderId="61" xfId="0" applyFont="1" applyFill="1" applyBorder="1" applyAlignment="1" applyProtection="1">
      <alignment horizontal="center" vertical="center"/>
      <protection hidden="1"/>
    </xf>
    <xf numFmtId="0" fontId="0" fillId="0" borderId="16" xfId="0" applyFont="1" applyFill="1" applyBorder="1" applyAlignment="1" applyProtection="1">
      <alignment horizontal="center" vertical="center"/>
      <protection hidden="1"/>
    </xf>
    <xf numFmtId="0" fontId="0" fillId="0" borderId="1" xfId="0" applyFont="1" applyFill="1" applyBorder="1" applyAlignment="1" applyProtection="1">
      <alignment horizontal="center" vertical="center"/>
      <protection hidden="1"/>
    </xf>
    <xf numFmtId="0" fontId="0" fillId="0" borderId="1" xfId="0" applyFill="1" applyBorder="1" applyAlignment="1" applyProtection="1">
      <alignment horizontal="center" vertical="center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17" fillId="2" borderId="15" xfId="0" applyNumberFormat="1" applyFont="1" applyFill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7" fillId="0" borderId="56" xfId="0" applyFont="1" applyFill="1" applyBorder="1" applyAlignment="1" applyProtection="1">
      <alignment horizontal="center" vertical="center"/>
      <protection hidden="1"/>
    </xf>
    <xf numFmtId="0" fontId="47" fillId="0" borderId="60" xfId="0" applyFont="1" applyBorder="1" applyAlignment="1" applyProtection="1">
      <alignment horizontal="center" vertical="center"/>
      <protection hidden="1"/>
    </xf>
    <xf numFmtId="0" fontId="47" fillId="0" borderId="61" xfId="0" applyFont="1" applyBorder="1" applyAlignment="1" applyProtection="1">
      <alignment horizontal="center" vertical="center"/>
      <protection hidden="1"/>
    </xf>
    <xf numFmtId="0" fontId="29" fillId="0" borderId="12" xfId="1" applyNumberFormat="1" applyFont="1" applyBorder="1" applyAlignment="1" applyProtection="1">
      <alignment horizontal="center" vertical="center"/>
      <protection hidden="1"/>
    </xf>
    <xf numFmtId="1" fontId="38" fillId="18" borderId="12" xfId="0" applyNumberFormat="1" applyFont="1" applyFill="1" applyBorder="1" applyAlignment="1" applyProtection="1">
      <alignment horizontal="center"/>
      <protection hidden="1"/>
    </xf>
    <xf numFmtId="0" fontId="29" fillId="0" borderId="2" xfId="1" applyNumberFormat="1" applyFont="1" applyBorder="1" applyAlignment="1" applyProtection="1">
      <alignment horizontal="center" vertical="center"/>
      <protection hidden="1"/>
    </xf>
    <xf numFmtId="1" fontId="38" fillId="18" borderId="2" xfId="0" applyNumberFormat="1" applyFont="1" applyFill="1" applyBorder="1" applyAlignment="1" applyProtection="1">
      <alignment horizontal="center"/>
      <protection hidden="1"/>
    </xf>
    <xf numFmtId="1" fontId="38" fillId="18" borderId="2" xfId="0" applyNumberFormat="1" applyFont="1" applyFill="1" applyBorder="1" applyAlignment="1" applyProtection="1">
      <alignment horizontal="center" vertical="center"/>
      <protection hidden="1"/>
    </xf>
    <xf numFmtId="0" fontId="29" fillId="0" borderId="2" xfId="1" applyNumberFormat="1" applyFont="1" applyFill="1" applyBorder="1" applyAlignment="1" applyProtection="1">
      <alignment horizontal="center" vertical="center"/>
      <protection hidden="1"/>
    </xf>
    <xf numFmtId="0" fontId="47" fillId="0" borderId="65" xfId="0" applyFont="1" applyFill="1" applyBorder="1" applyAlignment="1" applyProtection="1">
      <alignment horizontal="center"/>
      <protection hidden="1"/>
    </xf>
    <xf numFmtId="0" fontId="47" fillId="0" borderId="63" xfId="0" applyFont="1" applyFill="1" applyBorder="1" applyAlignment="1" applyProtection="1">
      <alignment horizontal="center"/>
      <protection hidden="1"/>
    </xf>
    <xf numFmtId="0" fontId="47" fillId="0" borderId="63" xfId="0" applyFont="1" applyBorder="1" applyAlignment="1" applyProtection="1">
      <alignment horizontal="center"/>
      <protection hidden="1"/>
    </xf>
    <xf numFmtId="0" fontId="47" fillId="0" borderId="64" xfId="0" applyFont="1" applyFill="1" applyBorder="1" applyAlignment="1" applyProtection="1">
      <alignment horizontal="center"/>
      <protection hidden="1"/>
    </xf>
    <xf numFmtId="0" fontId="0" fillId="0" borderId="33" xfId="0" applyFill="1" applyBorder="1" applyAlignment="1">
      <alignment horizontal="center" vertical="center"/>
    </xf>
    <xf numFmtId="1" fontId="47" fillId="18" borderId="7" xfId="0" applyNumberFormat="1" applyFont="1" applyFill="1" applyBorder="1" applyAlignment="1">
      <alignment horizontal="center" vertical="center"/>
    </xf>
    <xf numFmtId="1" fontId="47" fillId="18" borderId="57" xfId="0" applyNumberFormat="1" applyFont="1" applyFill="1" applyBorder="1" applyAlignment="1">
      <alignment horizontal="center" vertical="center"/>
    </xf>
    <xf numFmtId="1" fontId="47" fillId="18" borderId="13" xfId="0" applyNumberFormat="1" applyFont="1" applyFill="1" applyBorder="1" applyAlignment="1">
      <alignment horizontal="center" vertical="center"/>
    </xf>
    <xf numFmtId="1" fontId="47" fillId="18" borderId="62" xfId="0" applyNumberFormat="1" applyFont="1" applyFill="1" applyBorder="1" applyAlignment="1">
      <alignment horizontal="center" vertical="center"/>
    </xf>
    <xf numFmtId="1" fontId="47" fillId="18" borderId="72" xfId="0" applyNumberFormat="1" applyFont="1" applyFill="1" applyBorder="1" applyAlignment="1">
      <alignment horizontal="center" vertical="center"/>
    </xf>
    <xf numFmtId="1" fontId="47" fillId="18" borderId="59" xfId="0" applyNumberFormat="1" applyFont="1" applyFill="1" applyBorder="1" applyAlignment="1">
      <alignment horizontal="center" vertical="center"/>
    </xf>
    <xf numFmtId="0" fontId="47" fillId="0" borderId="64" xfId="0" applyFont="1" applyBorder="1" applyAlignment="1" applyProtection="1">
      <alignment horizontal="center"/>
      <protection hidden="1"/>
    </xf>
    <xf numFmtId="1" fontId="47" fillId="18" borderId="75" xfId="0" applyNumberFormat="1" applyFont="1" applyFill="1" applyBorder="1" applyAlignment="1" applyProtection="1">
      <alignment horizontal="center" vertical="center"/>
      <protection hidden="1"/>
    </xf>
    <xf numFmtId="1" fontId="47" fillId="18" borderId="77" xfId="0" applyNumberFormat="1" applyFont="1" applyFill="1" applyBorder="1" applyAlignment="1" applyProtection="1">
      <alignment horizontal="center" vertical="center"/>
      <protection hidden="1"/>
    </xf>
    <xf numFmtId="1" fontId="47" fillId="18" borderId="9" xfId="0" applyNumberFormat="1" applyFont="1" applyFill="1" applyBorder="1" applyAlignment="1" applyProtection="1">
      <alignment horizontal="center" vertical="center"/>
      <protection hidden="1"/>
    </xf>
    <xf numFmtId="1" fontId="47" fillId="18" borderId="40" xfId="0" applyNumberFormat="1" applyFont="1" applyFill="1" applyBorder="1" applyAlignment="1" applyProtection="1">
      <alignment horizontal="center" vertical="center"/>
      <protection hidden="1"/>
    </xf>
    <xf numFmtId="49" fontId="47" fillId="0" borderId="39" xfId="0" applyNumberFormat="1" applyFont="1" applyFill="1" applyBorder="1" applyAlignment="1" applyProtection="1">
      <alignment horizontal="center" vertical="center"/>
      <protection hidden="1"/>
    </xf>
    <xf numFmtId="49" fontId="47" fillId="0" borderId="87" xfId="0" applyNumberFormat="1" applyFont="1" applyFill="1" applyBorder="1" applyAlignment="1" applyProtection="1">
      <alignment horizontal="center" vertical="center"/>
      <protection hidden="1"/>
    </xf>
    <xf numFmtId="1" fontId="47" fillId="18" borderId="81" xfId="0" applyNumberFormat="1" applyFont="1" applyFill="1" applyBorder="1" applyAlignment="1" applyProtection="1">
      <alignment horizontal="center" vertical="center"/>
      <protection hidden="1"/>
    </xf>
    <xf numFmtId="0" fontId="37" fillId="0" borderId="0" xfId="6" applyFont="1" applyFill="1" applyBorder="1" applyAlignment="1">
      <alignment vertical="center"/>
    </xf>
    <xf numFmtId="0" fontId="38" fillId="0" borderId="69" xfId="0" applyFont="1" applyBorder="1" applyAlignment="1" applyProtection="1">
      <alignment horizontal="center"/>
      <protection hidden="1"/>
    </xf>
    <xf numFmtId="0" fontId="38" fillId="0" borderId="92" xfId="0" applyFont="1" applyBorder="1" applyAlignment="1" applyProtection="1">
      <alignment horizontal="center"/>
      <protection hidden="1"/>
    </xf>
    <xf numFmtId="0" fontId="38" fillId="0" borderId="93" xfId="0" applyFont="1" applyBorder="1" applyAlignment="1" applyProtection="1">
      <alignment horizontal="center"/>
      <protection hidden="1"/>
    </xf>
    <xf numFmtId="0" fontId="38" fillId="0" borderId="6" xfId="0" applyFont="1" applyBorder="1" applyAlignment="1" applyProtection="1">
      <alignment horizontal="center"/>
      <protection hidden="1"/>
    </xf>
    <xf numFmtId="0" fontId="38" fillId="0" borderId="4" xfId="0" applyFont="1" applyBorder="1" applyAlignment="1" applyProtection="1">
      <alignment horizontal="center"/>
      <protection hidden="1"/>
    </xf>
    <xf numFmtId="0" fontId="38" fillId="0" borderId="18" xfId="0" applyFont="1" applyBorder="1" applyAlignment="1" applyProtection="1">
      <alignment horizontal="center"/>
      <protection hidden="1"/>
    </xf>
    <xf numFmtId="49" fontId="47" fillId="0" borderId="74" xfId="0" applyNumberFormat="1" applyFont="1" applyBorder="1" applyAlignment="1" applyProtection="1">
      <alignment horizontal="center" vertical="center"/>
      <protection hidden="1"/>
    </xf>
    <xf numFmtId="49" fontId="47" fillId="0" borderId="56" xfId="0" applyNumberFormat="1" applyFont="1" applyBorder="1" applyAlignment="1" applyProtection="1">
      <alignment horizontal="center" vertical="center"/>
      <protection hidden="1"/>
    </xf>
    <xf numFmtId="49" fontId="47" fillId="0" borderId="60" xfId="0" applyNumberFormat="1" applyFont="1" applyBorder="1" applyAlignment="1" applyProtection="1">
      <alignment horizontal="center" vertical="center"/>
      <protection hidden="1"/>
    </xf>
    <xf numFmtId="49" fontId="47" fillId="0" borderId="58" xfId="0" applyNumberFormat="1" applyFont="1" applyBorder="1" applyAlignment="1" applyProtection="1">
      <alignment horizontal="center" vertical="center"/>
      <protection hidden="1"/>
    </xf>
    <xf numFmtId="49" fontId="47" fillId="0" borderId="60" xfId="0" applyNumberFormat="1" applyFont="1" applyFill="1" applyBorder="1" applyAlignment="1" applyProtection="1">
      <alignment horizontal="center" vertical="center"/>
      <protection hidden="1"/>
    </xf>
    <xf numFmtId="49" fontId="47" fillId="0" borderId="58" xfId="0" applyNumberFormat="1" applyFont="1" applyFill="1" applyBorder="1" applyAlignment="1" applyProtection="1">
      <alignment horizontal="center" vertical="center"/>
      <protection hidden="1"/>
    </xf>
    <xf numFmtId="49" fontId="47" fillId="0" borderId="74" xfId="0" applyNumberFormat="1" applyFont="1" applyFill="1" applyBorder="1" applyAlignment="1" applyProtection="1">
      <alignment horizontal="center" vertical="center"/>
      <protection hidden="1"/>
    </xf>
    <xf numFmtId="49" fontId="47" fillId="0" borderId="2" xfId="0" applyNumberFormat="1" applyFont="1" applyBorder="1" applyAlignment="1" applyProtection="1">
      <alignment horizontal="center" vertical="center"/>
      <protection hidden="1"/>
    </xf>
    <xf numFmtId="49" fontId="47" fillId="0" borderId="9" xfId="0" applyNumberFormat="1" applyFont="1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1" fontId="0" fillId="18" borderId="75" xfId="0" applyNumberFormat="1" applyFill="1" applyBorder="1" applyAlignment="1">
      <alignment horizontal="center"/>
    </xf>
    <xf numFmtId="1" fontId="0" fillId="18" borderId="2" xfId="0" applyNumberFormat="1" applyFill="1" applyBorder="1" applyAlignment="1">
      <alignment horizontal="center"/>
    </xf>
    <xf numFmtId="1" fontId="0" fillId="18" borderId="43" xfId="0" applyNumberFormat="1" applyFill="1" applyBorder="1" applyAlignment="1">
      <alignment horizontal="center"/>
    </xf>
    <xf numFmtId="1" fontId="0" fillId="18" borderId="75" xfId="0" applyNumberFormat="1" applyFill="1" applyBorder="1" applyAlignment="1" applyProtection="1">
      <alignment horizontal="center" vertical="center"/>
      <protection hidden="1"/>
    </xf>
    <xf numFmtId="1" fontId="0" fillId="18" borderId="2" xfId="0" applyNumberFormat="1" applyFill="1" applyBorder="1" applyAlignment="1" applyProtection="1">
      <alignment horizontal="center" vertical="center"/>
      <protection hidden="1"/>
    </xf>
    <xf numFmtId="1" fontId="0" fillId="18" borderId="43" xfId="0" applyNumberFormat="1" applyFill="1" applyBorder="1" applyAlignment="1" applyProtection="1">
      <alignment horizontal="center" vertical="center"/>
      <protection hidden="1"/>
    </xf>
    <xf numFmtId="1" fontId="0" fillId="18" borderId="12" xfId="0" applyNumberFormat="1" applyFill="1" applyBorder="1" applyAlignment="1" applyProtection="1">
      <alignment horizontal="center" vertical="center"/>
      <protection hidden="1"/>
    </xf>
    <xf numFmtId="1" fontId="0" fillId="18" borderId="9" xfId="0" applyNumberFormat="1" applyFill="1" applyBorder="1" applyAlignment="1" applyProtection="1">
      <alignment horizontal="center" vertical="center"/>
      <protection hidden="1"/>
    </xf>
    <xf numFmtId="165" fontId="19" fillId="18" borderId="44" xfId="0" applyNumberFormat="1" applyFont="1" applyFill="1" applyBorder="1" applyAlignment="1" applyProtection="1">
      <alignment horizontal="center" vertical="center" wrapText="1"/>
      <protection hidden="1"/>
    </xf>
    <xf numFmtId="165" fontId="19" fillId="18" borderId="40" xfId="0" applyNumberFormat="1" applyFont="1" applyFill="1" applyBorder="1" applyAlignment="1" applyProtection="1">
      <alignment horizontal="center" vertical="center" wrapText="1"/>
      <protection hidden="1"/>
    </xf>
    <xf numFmtId="165" fontId="19" fillId="18" borderId="41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75" xfId="0" applyNumberFormat="1" applyFont="1" applyBorder="1" applyAlignment="1" applyProtection="1">
      <alignment horizontal="center" vertical="center"/>
      <protection hidden="1"/>
    </xf>
    <xf numFmtId="49" fontId="0" fillId="0" borderId="2" xfId="0" applyNumberFormat="1" applyFont="1" applyBorder="1" applyAlignment="1" applyProtection="1">
      <alignment horizontal="center" vertical="center"/>
      <protection hidden="1"/>
    </xf>
    <xf numFmtId="49" fontId="0" fillId="0" borderId="43" xfId="0" applyNumberFormat="1" applyFont="1" applyBorder="1" applyAlignment="1" applyProtection="1">
      <alignment horizontal="center" vertical="center"/>
      <protection hidden="1"/>
    </xf>
    <xf numFmtId="49" fontId="0" fillId="0" borderId="12" xfId="0" applyNumberFormat="1" applyFont="1" applyBorder="1" applyAlignment="1" applyProtection="1">
      <alignment horizontal="center" vertical="center"/>
      <protection hidden="1"/>
    </xf>
    <xf numFmtId="49" fontId="0" fillId="0" borderId="9" xfId="0" applyNumberFormat="1" applyFont="1" applyBorder="1" applyAlignment="1" applyProtection="1">
      <alignment horizontal="center" vertical="center"/>
      <protection hidden="1"/>
    </xf>
    <xf numFmtId="49" fontId="0" fillId="0" borderId="74" xfId="0" applyNumberFormat="1" applyFont="1" applyBorder="1" applyAlignment="1" applyProtection="1">
      <alignment horizontal="center" vertical="center"/>
      <protection hidden="1"/>
    </xf>
    <xf numFmtId="49" fontId="0" fillId="0" borderId="60" xfId="0" applyNumberFormat="1" applyFont="1" applyBorder="1" applyAlignment="1" applyProtection="1">
      <alignment horizontal="center" vertical="center"/>
      <protection hidden="1"/>
    </xf>
    <xf numFmtId="49" fontId="0" fillId="0" borderId="58" xfId="0" applyNumberFormat="1" applyFont="1" applyBorder="1" applyAlignment="1" applyProtection="1">
      <alignment horizontal="center" vertical="center"/>
      <protection hidden="1"/>
    </xf>
    <xf numFmtId="0" fontId="36" fillId="0" borderId="0" xfId="6" applyFill="1" applyBorder="1" applyAlignment="1">
      <alignment vertical="center"/>
    </xf>
    <xf numFmtId="0" fontId="0" fillId="0" borderId="0" xfId="0" applyFill="1" applyBorder="1"/>
    <xf numFmtId="0" fontId="29" fillId="0" borderId="2" xfId="1" applyFont="1" applyFill="1" applyBorder="1" applyAlignment="1">
      <alignment horizontal="center" vertical="center" wrapText="1"/>
    </xf>
    <xf numFmtId="1" fontId="30" fillId="21" borderId="62" xfId="1" applyNumberFormat="1" applyFont="1" applyFill="1" applyBorder="1" applyAlignment="1">
      <alignment horizontal="center" vertical="center" wrapText="1"/>
    </xf>
    <xf numFmtId="0" fontId="28" fillId="0" borderId="2" xfId="1" applyFont="1" applyFill="1" applyBorder="1" applyAlignment="1">
      <alignment horizontal="center" vertical="center" wrapText="1"/>
    </xf>
    <xf numFmtId="1" fontId="42" fillId="21" borderId="62" xfId="1" applyNumberFormat="1" applyFont="1" applyFill="1" applyBorder="1" applyAlignment="1">
      <alignment horizontal="center" vertical="center" wrapText="1"/>
    </xf>
    <xf numFmtId="0" fontId="28" fillId="0" borderId="43" xfId="1" applyFont="1" applyFill="1" applyBorder="1" applyAlignment="1">
      <alignment horizontal="center" vertical="center" wrapText="1"/>
    </xf>
    <xf numFmtId="1" fontId="42" fillId="21" borderId="59" xfId="1" applyNumberFormat="1" applyFont="1" applyFill="1" applyBorder="1" applyAlignment="1">
      <alignment horizontal="center" vertical="center" wrapText="1"/>
    </xf>
    <xf numFmtId="0" fontId="28" fillId="0" borderId="75" xfId="1" applyFont="1" applyFill="1" applyBorder="1" applyAlignment="1">
      <alignment horizontal="center" vertical="center" wrapText="1"/>
    </xf>
    <xf numFmtId="1" fontId="42" fillId="21" borderId="76" xfId="1" applyNumberFormat="1" applyFont="1" applyFill="1" applyBorder="1" applyAlignment="1">
      <alignment horizontal="center" vertical="center" wrapText="1"/>
    </xf>
    <xf numFmtId="0" fontId="28" fillId="0" borderId="56" xfId="1" applyFont="1" applyFill="1" applyBorder="1" applyAlignment="1">
      <alignment horizontal="center" vertical="center" wrapText="1"/>
    </xf>
    <xf numFmtId="0" fontId="1" fillId="0" borderId="0" xfId="0" applyFont="1"/>
    <xf numFmtId="0" fontId="30" fillId="9" borderId="38" xfId="5" applyFont="1" applyFill="1" applyBorder="1" applyAlignment="1" applyProtection="1">
      <alignment horizontal="center" vertical="center" wrapText="1"/>
      <protection hidden="1"/>
    </xf>
    <xf numFmtId="1" fontId="42" fillId="0" borderId="12" xfId="1" applyNumberFormat="1" applyFont="1" applyFill="1" applyBorder="1" applyAlignment="1">
      <alignment horizontal="center" vertical="center" wrapText="1"/>
    </xf>
    <xf numFmtId="1" fontId="42" fillId="20" borderId="12" xfId="1" applyNumberFormat="1" applyFont="1" applyFill="1" applyBorder="1" applyAlignment="1">
      <alignment horizontal="center" vertical="center" wrapText="1"/>
    </xf>
    <xf numFmtId="0" fontId="28" fillId="0" borderId="60" xfId="1" applyFont="1" applyFill="1" applyBorder="1" applyAlignment="1">
      <alignment horizontal="center" vertical="center" wrapText="1"/>
    </xf>
    <xf numFmtId="1" fontId="42" fillId="0" borderId="2" xfId="1" applyNumberFormat="1" applyFont="1" applyFill="1" applyBorder="1" applyAlignment="1">
      <alignment horizontal="center" vertical="center" wrapText="1"/>
    </xf>
    <xf numFmtId="1" fontId="42" fillId="20" borderId="2" xfId="1" applyNumberFormat="1" applyFont="1" applyFill="1" applyBorder="1" applyAlignment="1">
      <alignment horizontal="center" vertical="center" wrapText="1"/>
    </xf>
    <xf numFmtId="0" fontId="30" fillId="9" borderId="79" xfId="5" applyFont="1" applyFill="1" applyBorder="1" applyAlignment="1" applyProtection="1">
      <alignment horizontal="center" vertical="center" wrapText="1"/>
      <protection hidden="1"/>
    </xf>
    <xf numFmtId="0" fontId="29" fillId="0" borderId="92" xfId="1" applyFont="1" applyFill="1" applyBorder="1" applyAlignment="1">
      <alignment horizontal="center" vertical="center" wrapText="1"/>
    </xf>
    <xf numFmtId="1" fontId="30" fillId="21" borderId="2" xfId="1" applyNumberFormat="1" applyFont="1" applyFill="1" applyBorder="1" applyAlignment="1">
      <alignment horizontal="center" vertical="center" wrapText="1"/>
    </xf>
    <xf numFmtId="0" fontId="29" fillId="0" borderId="60" xfId="1" applyFont="1" applyFill="1" applyBorder="1" applyAlignment="1">
      <alignment horizontal="center" vertical="center" wrapText="1"/>
    </xf>
    <xf numFmtId="1" fontId="29" fillId="0" borderId="2" xfId="1" applyNumberFormat="1" applyFont="1" applyFill="1" applyBorder="1" applyAlignment="1">
      <alignment horizontal="center" vertical="center" wrapText="1"/>
    </xf>
    <xf numFmtId="1" fontId="30" fillId="21" borderId="92" xfId="1" applyNumberFormat="1" applyFont="1" applyFill="1" applyBorder="1" applyAlignment="1">
      <alignment horizontal="center" vertical="center" wrapText="1"/>
    </xf>
    <xf numFmtId="0" fontId="29" fillId="0" borderId="69" xfId="1" applyFont="1" applyFill="1" applyBorder="1" applyAlignment="1">
      <alignment horizontal="center" vertical="center" wrapText="1"/>
    </xf>
    <xf numFmtId="1" fontId="30" fillId="21" borderId="73" xfId="1" applyNumberFormat="1" applyFont="1" applyFill="1" applyBorder="1" applyAlignment="1">
      <alignment horizontal="center" vertical="center" wrapText="1"/>
    </xf>
    <xf numFmtId="1" fontId="30" fillId="21" borderId="63" xfId="1" applyNumberFormat="1" applyFont="1" applyFill="1" applyBorder="1" applyAlignment="1">
      <alignment horizontal="center" vertical="center" wrapText="1"/>
    </xf>
    <xf numFmtId="0" fontId="29" fillId="0" borderId="93" xfId="1" applyFont="1" applyFill="1" applyBorder="1" applyAlignment="1">
      <alignment horizontal="center" vertical="center" wrapText="1"/>
    </xf>
    <xf numFmtId="1" fontId="30" fillId="21" borderId="64" xfId="1" applyNumberFormat="1" applyFont="1" applyFill="1" applyBorder="1" applyAlignment="1">
      <alignment horizontal="center" vertical="center" wrapText="1"/>
    </xf>
    <xf numFmtId="0" fontId="24" fillId="21" borderId="8" xfId="1" applyFont="1" applyFill="1" applyBorder="1" applyAlignment="1">
      <alignment horizontal="center" vertical="center" wrapText="1"/>
    </xf>
    <xf numFmtId="0" fontId="24" fillId="21" borderId="38" xfId="1" applyFont="1" applyFill="1" applyBorder="1" applyAlignment="1">
      <alignment horizontal="center" vertical="center" wrapText="1"/>
    </xf>
    <xf numFmtId="0" fontId="28" fillId="0" borderId="12" xfId="1" applyFont="1" applyFill="1" applyBorder="1" applyAlignment="1">
      <alignment horizontal="center" vertical="center" wrapText="1"/>
    </xf>
    <xf numFmtId="1" fontId="42" fillId="21" borderId="57" xfId="1" applyNumberFormat="1" applyFont="1" applyFill="1" applyBorder="1" applyAlignment="1">
      <alignment horizontal="center" vertical="center" wrapText="1"/>
    </xf>
    <xf numFmtId="0" fontId="24" fillId="21" borderId="40" xfId="1" applyFont="1" applyFill="1" applyBorder="1" applyAlignment="1">
      <alignment horizontal="center" vertical="center" wrapText="1"/>
    </xf>
    <xf numFmtId="0" fontId="24" fillId="21" borderId="41" xfId="1" applyFont="1" applyFill="1" applyBorder="1" applyAlignment="1">
      <alignment horizontal="center" vertical="center" wrapText="1"/>
    </xf>
    <xf numFmtId="0" fontId="29" fillId="0" borderId="95" xfId="1" applyFont="1" applyFill="1" applyBorder="1" applyAlignment="1">
      <alignment horizontal="center" vertical="center" wrapText="1"/>
    </xf>
    <xf numFmtId="0" fontId="29" fillId="0" borderId="12" xfId="1" applyFont="1" applyFill="1" applyBorder="1" applyAlignment="1">
      <alignment horizontal="center" vertical="center" wrapText="1"/>
    </xf>
    <xf numFmtId="1" fontId="30" fillId="21" borderId="12" xfId="1" applyNumberFormat="1" applyFont="1" applyFill="1" applyBorder="1" applyAlignment="1">
      <alignment horizontal="center" vertical="center" wrapText="1"/>
    </xf>
    <xf numFmtId="1" fontId="30" fillId="21" borderId="57" xfId="1" applyNumberFormat="1" applyFont="1" applyFill="1" applyBorder="1" applyAlignment="1">
      <alignment horizontal="center" vertical="center" wrapText="1"/>
    </xf>
    <xf numFmtId="0" fontId="24" fillId="21" borderId="96" xfId="1" applyFont="1" applyFill="1" applyBorder="1" applyAlignment="1">
      <alignment horizontal="center" vertical="center" wrapText="1"/>
    </xf>
    <xf numFmtId="0" fontId="24" fillId="21" borderId="77" xfId="1" applyFont="1" applyFill="1" applyBorder="1" applyAlignment="1">
      <alignment horizontal="center" vertical="center" wrapText="1"/>
    </xf>
    <xf numFmtId="0" fontId="24" fillId="21" borderId="86" xfId="1" applyFont="1" applyFill="1" applyBorder="1" applyAlignment="1">
      <alignment horizontal="center" vertical="center" wrapText="1"/>
    </xf>
    <xf numFmtId="0" fontId="0" fillId="0" borderId="54" xfId="0" applyFill="1" applyBorder="1"/>
    <xf numFmtId="0" fontId="0" fillId="0" borderId="74" xfId="0" applyBorder="1" applyAlignment="1" applyProtection="1">
      <alignment horizontal="center"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27" fillId="0" borderId="0" xfId="5" applyFill="1" applyAlignment="1" applyProtection="1">
      <alignment horizontal="center"/>
      <protection hidden="1"/>
    </xf>
    <xf numFmtId="0" fontId="27" fillId="0" borderId="0" xfId="5" applyAlignment="1" applyProtection="1">
      <alignment horizontal="center"/>
      <protection hidden="1"/>
    </xf>
    <xf numFmtId="0" fontId="0" fillId="0" borderId="114" xfId="0" applyFill="1" applyBorder="1"/>
    <xf numFmtId="0" fontId="48" fillId="0" borderId="120" xfId="0" applyFont="1" applyFill="1" applyBorder="1"/>
    <xf numFmtId="0" fontId="49" fillId="0" borderId="0" xfId="0" applyFont="1" applyFill="1" applyBorder="1"/>
    <xf numFmtId="0" fontId="50" fillId="22" borderId="102" xfId="6" applyFont="1" applyFill="1" applyBorder="1" applyAlignment="1">
      <alignment horizontal="left" vertical="center"/>
    </xf>
    <xf numFmtId="0" fontId="50" fillId="22" borderId="104" xfId="6" applyFont="1" applyFill="1" applyBorder="1" applyAlignment="1">
      <alignment horizontal="left" vertical="center"/>
    </xf>
    <xf numFmtId="0" fontId="50" fillId="22" borderId="103" xfId="6" applyFont="1" applyFill="1" applyBorder="1" applyAlignment="1">
      <alignment horizontal="left" vertical="center"/>
    </xf>
    <xf numFmtId="0" fontId="50" fillId="22" borderId="105" xfId="6" applyFont="1" applyFill="1" applyBorder="1" applyAlignment="1">
      <alignment horizontal="left" vertical="center"/>
    </xf>
    <xf numFmtId="0" fontId="50" fillId="22" borderId="101" xfId="6" applyFont="1" applyFill="1" applyBorder="1" applyAlignment="1">
      <alignment horizontal="left" vertical="center"/>
    </xf>
    <xf numFmtId="0" fontId="50" fillId="22" borderId="107" xfId="6" applyFont="1" applyFill="1" applyBorder="1" applyAlignment="1">
      <alignment horizontal="left" vertical="center"/>
    </xf>
    <xf numFmtId="0" fontId="50" fillId="22" borderId="100" xfId="6" applyFont="1" applyFill="1" applyBorder="1" applyAlignment="1">
      <alignment horizontal="left" vertical="center"/>
    </xf>
    <xf numFmtId="0" fontId="50" fillId="22" borderId="99" xfId="6" applyFont="1" applyFill="1" applyBorder="1" applyAlignment="1">
      <alignment horizontal="left" vertical="center"/>
    </xf>
    <xf numFmtId="0" fontId="0" fillId="22" borderId="0" xfId="0" applyFill="1"/>
    <xf numFmtId="0" fontId="0" fillId="22" borderId="98" xfId="0" applyFill="1" applyBorder="1"/>
    <xf numFmtId="0" fontId="51" fillId="22" borderId="97" xfId="6" applyFont="1" applyFill="1" applyBorder="1" applyAlignment="1">
      <alignment horizontal="left"/>
    </xf>
    <xf numFmtId="0" fontId="51" fillId="22" borderId="109" xfId="6" applyFont="1" applyFill="1" applyBorder="1" applyAlignment="1">
      <alignment horizontal="left"/>
    </xf>
    <xf numFmtId="0" fontId="51" fillId="22" borderId="105" xfId="6" applyFont="1" applyFill="1" applyBorder="1" applyAlignment="1">
      <alignment horizontal="left" vertical="center"/>
    </xf>
    <xf numFmtId="0" fontId="51" fillId="22" borderId="110" xfId="6" applyFont="1" applyFill="1" applyBorder="1" applyAlignment="1">
      <alignment horizontal="left"/>
    </xf>
    <xf numFmtId="0" fontId="51" fillId="22" borderId="108" xfId="6" applyFont="1" applyFill="1" applyBorder="1" applyAlignment="1">
      <alignment horizontal="left"/>
    </xf>
    <xf numFmtId="0" fontId="52" fillId="0" borderId="0" xfId="0" quotePrefix="1" applyFont="1" applyFill="1"/>
    <xf numFmtId="0" fontId="13" fillId="18" borderId="38" xfId="0" applyFont="1" applyFill="1" applyBorder="1" applyAlignment="1" applyProtection="1">
      <alignment horizontal="center" vertical="center"/>
      <protection hidden="1"/>
    </xf>
    <xf numFmtId="0" fontId="13" fillId="15" borderId="38" xfId="0" applyFont="1" applyFill="1" applyBorder="1" applyAlignment="1">
      <alignment horizontal="center" vertical="center"/>
    </xf>
    <xf numFmtId="0" fontId="13" fillId="15" borderId="38" xfId="0" applyFont="1" applyFill="1" applyBorder="1" applyAlignment="1" applyProtection="1">
      <alignment horizontal="center" wrapText="1"/>
      <protection hidden="1"/>
    </xf>
    <xf numFmtId="167" fontId="47" fillId="18" borderId="60" xfId="11" applyNumberFormat="1" applyFont="1" applyFill="1" applyBorder="1" applyAlignment="1" applyProtection="1">
      <alignment horizontal="center" vertical="center"/>
      <protection hidden="1"/>
    </xf>
    <xf numFmtId="167" fontId="47" fillId="18" borderId="58" xfId="11" applyNumberFormat="1" applyFont="1" applyFill="1" applyBorder="1" applyAlignment="1" applyProtection="1">
      <alignment horizontal="center" vertical="center"/>
      <protection hidden="1"/>
    </xf>
    <xf numFmtId="168" fontId="47" fillId="18" borderId="60" xfId="11" applyNumberFormat="1" applyFont="1" applyFill="1" applyBorder="1" applyAlignment="1" applyProtection="1">
      <alignment horizontal="center" vertical="center"/>
      <protection hidden="1"/>
    </xf>
    <xf numFmtId="168" fontId="47" fillId="18" borderId="2" xfId="11" applyNumberFormat="1" applyFont="1" applyFill="1" applyBorder="1" applyAlignment="1" applyProtection="1">
      <alignment horizontal="center" vertical="center"/>
      <protection hidden="1"/>
    </xf>
    <xf numFmtId="168" fontId="47" fillId="18" borderId="58" xfId="11" applyNumberFormat="1" applyFont="1" applyFill="1" applyBorder="1" applyAlignment="1" applyProtection="1">
      <alignment horizontal="center" vertical="center"/>
      <protection hidden="1"/>
    </xf>
    <xf numFmtId="168" fontId="47" fillId="18" borderId="43" xfId="11" applyNumberFormat="1" applyFont="1" applyFill="1" applyBorder="1" applyAlignment="1" applyProtection="1">
      <alignment horizontal="center" vertical="center"/>
      <protection hidden="1"/>
    </xf>
    <xf numFmtId="168" fontId="47" fillId="18" borderId="56" xfId="11" applyNumberFormat="1" applyFont="1" applyFill="1" applyBorder="1" applyAlignment="1" applyProtection="1">
      <alignment horizontal="center" vertical="center"/>
      <protection hidden="1"/>
    </xf>
    <xf numFmtId="0" fontId="0" fillId="18" borderId="0" xfId="0" applyFill="1" applyAlignment="1">
      <alignment horizontal="center"/>
    </xf>
    <xf numFmtId="165" fontId="13" fillId="18" borderId="38" xfId="0" applyNumberFormat="1" applyFont="1" applyFill="1" applyBorder="1" applyAlignment="1" applyProtection="1">
      <alignment horizontal="center" vertical="center"/>
      <protection hidden="1"/>
    </xf>
    <xf numFmtId="0" fontId="13" fillId="23" borderId="38" xfId="0" applyFont="1" applyFill="1" applyBorder="1" applyAlignment="1" applyProtection="1">
      <alignment horizontal="center" vertical="center"/>
      <protection hidden="1"/>
    </xf>
    <xf numFmtId="165" fontId="13" fillId="23" borderId="38" xfId="0" applyNumberFormat="1" applyFont="1" applyFill="1" applyBorder="1" applyAlignment="1" applyProtection="1">
      <alignment horizontal="center" vertical="center"/>
      <protection hidden="1"/>
    </xf>
    <xf numFmtId="168" fontId="47" fillId="23" borderId="60" xfId="11" applyNumberFormat="1" applyFont="1" applyFill="1" applyBorder="1" applyAlignment="1" applyProtection="1">
      <alignment horizontal="center" vertical="center"/>
      <protection hidden="1"/>
    </xf>
    <xf numFmtId="168" fontId="47" fillId="23" borderId="56" xfId="11" applyNumberFormat="1" applyFont="1" applyFill="1" applyBorder="1" applyAlignment="1" applyProtection="1">
      <alignment horizontal="center" vertical="center"/>
      <protection hidden="1"/>
    </xf>
    <xf numFmtId="1" fontId="47" fillId="23" borderId="56" xfId="0" applyNumberFormat="1" applyFont="1" applyFill="1" applyBorder="1" applyAlignment="1">
      <alignment horizontal="center" vertical="center"/>
    </xf>
    <xf numFmtId="1" fontId="47" fillId="23" borderId="57" xfId="0" applyNumberFormat="1" applyFont="1" applyFill="1" applyBorder="1" applyAlignment="1">
      <alignment horizontal="center" vertical="center"/>
    </xf>
    <xf numFmtId="1" fontId="47" fillId="23" borderId="60" xfId="0" applyNumberFormat="1" applyFont="1" applyFill="1" applyBorder="1" applyAlignment="1">
      <alignment horizontal="center" vertical="center"/>
    </xf>
    <xf numFmtId="1" fontId="47" fillId="23" borderId="62" xfId="0" applyNumberFormat="1" applyFont="1" applyFill="1" applyBorder="1" applyAlignment="1">
      <alignment horizontal="center" vertical="center"/>
    </xf>
    <xf numFmtId="1" fontId="47" fillId="23" borderId="58" xfId="0" applyNumberFormat="1" applyFont="1" applyFill="1" applyBorder="1" applyAlignment="1">
      <alignment horizontal="center" vertical="center"/>
    </xf>
    <xf numFmtId="1" fontId="47" fillId="23" borderId="59" xfId="0" applyNumberFormat="1" applyFont="1" applyFill="1" applyBorder="1" applyAlignment="1">
      <alignment horizontal="center" vertical="center"/>
    </xf>
    <xf numFmtId="0" fontId="13" fillId="24" borderId="38" xfId="0" applyFont="1" applyFill="1" applyBorder="1" applyAlignment="1" applyProtection="1">
      <alignment horizontal="center" vertical="center"/>
      <protection hidden="1"/>
    </xf>
    <xf numFmtId="165" fontId="13" fillId="24" borderId="38" xfId="0" applyNumberFormat="1" applyFont="1" applyFill="1" applyBorder="1" applyAlignment="1" applyProtection="1">
      <alignment horizontal="center" vertical="center"/>
      <protection hidden="1"/>
    </xf>
    <xf numFmtId="168" fontId="47" fillId="24" borderId="56" xfId="11" applyNumberFormat="1" applyFont="1" applyFill="1" applyBorder="1" applyAlignment="1" applyProtection="1">
      <alignment horizontal="center" vertical="center"/>
      <protection hidden="1"/>
    </xf>
    <xf numFmtId="168" fontId="47" fillId="24" borderId="60" xfId="11" applyNumberFormat="1" applyFont="1" applyFill="1" applyBorder="1" applyAlignment="1" applyProtection="1">
      <alignment horizontal="center" vertical="center"/>
      <protection hidden="1"/>
    </xf>
    <xf numFmtId="168" fontId="47" fillId="24" borderId="2" xfId="11" applyNumberFormat="1" applyFont="1" applyFill="1" applyBorder="1" applyAlignment="1" applyProtection="1">
      <alignment horizontal="center" vertical="center"/>
      <protection hidden="1"/>
    </xf>
    <xf numFmtId="168" fontId="47" fillId="24" borderId="58" xfId="11" applyNumberFormat="1" applyFont="1" applyFill="1" applyBorder="1" applyAlignment="1" applyProtection="1">
      <alignment horizontal="center" vertical="center"/>
      <protection hidden="1"/>
    </xf>
    <xf numFmtId="168" fontId="47" fillId="24" borderId="43" xfId="11" applyNumberFormat="1" applyFont="1" applyFill="1" applyBorder="1" applyAlignment="1" applyProtection="1">
      <alignment horizontal="center" vertical="center"/>
      <protection hidden="1"/>
    </xf>
    <xf numFmtId="1" fontId="47" fillId="24" borderId="56" xfId="0" applyNumberFormat="1" applyFont="1" applyFill="1" applyBorder="1" applyAlignment="1">
      <alignment horizontal="center" vertical="center"/>
    </xf>
    <xf numFmtId="1" fontId="47" fillId="24" borderId="57" xfId="0" applyNumberFormat="1" applyFont="1" applyFill="1" applyBorder="1" applyAlignment="1">
      <alignment horizontal="center" vertical="center"/>
    </xf>
    <xf numFmtId="1" fontId="47" fillId="24" borderId="60" xfId="0" applyNumberFormat="1" applyFont="1" applyFill="1" applyBorder="1" applyAlignment="1">
      <alignment horizontal="center" vertical="center"/>
    </xf>
    <xf numFmtId="1" fontId="47" fillId="24" borderId="62" xfId="0" applyNumberFormat="1" applyFont="1" applyFill="1" applyBorder="1" applyAlignment="1">
      <alignment horizontal="center" vertical="center"/>
    </xf>
    <xf numFmtId="1" fontId="47" fillId="24" borderId="58" xfId="0" applyNumberFormat="1" applyFont="1" applyFill="1" applyBorder="1" applyAlignment="1">
      <alignment horizontal="center" vertical="center"/>
    </xf>
    <xf numFmtId="1" fontId="47" fillId="24" borderId="59" xfId="0" applyNumberFormat="1" applyFont="1" applyFill="1" applyBorder="1" applyAlignment="1">
      <alignment horizontal="center" vertical="center"/>
    </xf>
    <xf numFmtId="1" fontId="38" fillId="24" borderId="12" xfId="0" applyNumberFormat="1" applyFont="1" applyFill="1" applyBorder="1" applyAlignment="1" applyProtection="1">
      <alignment horizontal="center"/>
      <protection hidden="1"/>
    </xf>
    <xf numFmtId="1" fontId="38" fillId="24" borderId="2" xfId="0" applyNumberFormat="1" applyFont="1" applyFill="1" applyBorder="1" applyAlignment="1" applyProtection="1">
      <alignment horizontal="center"/>
      <protection hidden="1"/>
    </xf>
    <xf numFmtId="1" fontId="29" fillId="24" borderId="2" xfId="1" applyNumberFormat="1" applyFont="1" applyFill="1" applyBorder="1" applyAlignment="1" applyProtection="1">
      <alignment horizontal="center" vertical="center" wrapText="1"/>
      <protection hidden="1"/>
    </xf>
    <xf numFmtId="0" fontId="13" fillId="24" borderId="38" xfId="0" applyFont="1" applyFill="1" applyBorder="1" applyAlignment="1" applyProtection="1">
      <alignment horizontal="center"/>
      <protection hidden="1"/>
    </xf>
    <xf numFmtId="1" fontId="47" fillId="24" borderId="60" xfId="0" applyNumberFormat="1" applyFont="1" applyFill="1" applyBorder="1" applyAlignment="1" applyProtection="1">
      <alignment horizontal="center" vertical="center"/>
      <protection hidden="1"/>
    </xf>
    <xf numFmtId="1" fontId="47" fillId="24" borderId="2" xfId="0" applyNumberFormat="1" applyFont="1" applyFill="1" applyBorder="1" applyAlignment="1" applyProtection="1">
      <alignment horizontal="center" vertical="center"/>
      <protection hidden="1"/>
    </xf>
    <xf numFmtId="1" fontId="47" fillId="24" borderId="62" xfId="0" applyNumberFormat="1" applyFont="1" applyFill="1" applyBorder="1" applyAlignment="1" applyProtection="1">
      <alignment horizontal="center" vertical="center"/>
      <protection hidden="1"/>
    </xf>
    <xf numFmtId="1" fontId="47" fillId="24" borderId="58" xfId="0" applyNumberFormat="1" applyFont="1" applyFill="1" applyBorder="1" applyAlignment="1" applyProtection="1">
      <alignment horizontal="center" vertical="center"/>
      <protection hidden="1"/>
    </xf>
    <xf numFmtId="1" fontId="47" fillId="24" borderId="43" xfId="0" applyNumberFormat="1" applyFont="1" applyFill="1" applyBorder="1" applyAlignment="1" applyProtection="1">
      <alignment horizontal="center" vertical="center"/>
      <protection hidden="1"/>
    </xf>
    <xf numFmtId="1" fontId="47" fillId="24" borderId="59" xfId="0" applyNumberFormat="1" applyFont="1" applyFill="1" applyBorder="1" applyAlignment="1" applyProtection="1">
      <alignment horizontal="center" vertical="center"/>
      <protection hidden="1"/>
    </xf>
    <xf numFmtId="165" fontId="13" fillId="18" borderId="38" xfId="0" applyNumberFormat="1" applyFont="1" applyFill="1" applyBorder="1" applyAlignment="1" applyProtection="1">
      <alignment horizontal="center"/>
      <protection hidden="1"/>
    </xf>
    <xf numFmtId="165" fontId="13" fillId="24" borderId="38" xfId="0" applyNumberFormat="1" applyFont="1" applyFill="1" applyBorder="1" applyAlignment="1" applyProtection="1">
      <alignment horizontal="center"/>
      <protection hidden="1"/>
    </xf>
    <xf numFmtId="165" fontId="13" fillId="18" borderId="72" xfId="0" applyNumberFormat="1" applyFont="1" applyFill="1" applyBorder="1" applyAlignment="1" applyProtection="1">
      <alignment horizontal="center" vertical="center" wrapText="1"/>
      <protection hidden="1"/>
    </xf>
    <xf numFmtId="165" fontId="13" fillId="18" borderId="59" xfId="0" applyNumberFormat="1" applyFont="1" applyFill="1" applyBorder="1" applyAlignment="1" applyProtection="1">
      <alignment horizontal="center" vertical="center" wrapText="1"/>
      <protection hidden="1"/>
    </xf>
    <xf numFmtId="165" fontId="13" fillId="23" borderId="58" xfId="0" applyNumberFormat="1" applyFont="1" applyFill="1" applyBorder="1" applyAlignment="1" applyProtection="1">
      <alignment horizontal="center" vertical="center" wrapText="1"/>
      <protection hidden="1"/>
    </xf>
    <xf numFmtId="165" fontId="13" fillId="23" borderId="59" xfId="0" applyNumberFormat="1" applyFont="1" applyFill="1" applyBorder="1" applyAlignment="1" applyProtection="1">
      <alignment horizontal="center" vertical="center" wrapText="1"/>
      <protection hidden="1"/>
    </xf>
    <xf numFmtId="165" fontId="13" fillId="24" borderId="58" xfId="0" applyNumberFormat="1" applyFont="1" applyFill="1" applyBorder="1" applyAlignment="1" applyProtection="1">
      <alignment horizontal="center" vertical="center" wrapText="1"/>
      <protection hidden="1"/>
    </xf>
    <xf numFmtId="165" fontId="13" fillId="24" borderId="85" xfId="0" applyNumberFormat="1" applyFont="1" applyFill="1" applyBorder="1" applyAlignment="1" applyProtection="1">
      <alignment horizontal="center" vertical="center" wrapText="1"/>
      <protection hidden="1"/>
    </xf>
    <xf numFmtId="0" fontId="13" fillId="14" borderId="38" xfId="6" applyFont="1" applyFill="1" applyBorder="1" applyAlignment="1">
      <alignment horizontal="center" vertical="center"/>
    </xf>
    <xf numFmtId="0" fontId="13" fillId="15" borderId="73" xfId="0" applyFont="1" applyFill="1" applyBorder="1" applyAlignment="1" applyProtection="1">
      <alignment horizontal="center" vertical="center"/>
      <protection hidden="1"/>
    </xf>
    <xf numFmtId="0" fontId="13" fillId="15" borderId="38" xfId="0" applyFont="1" applyFill="1" applyBorder="1" applyAlignment="1" applyProtection="1">
      <alignment horizontal="center" vertical="center" wrapText="1"/>
      <protection hidden="1"/>
    </xf>
    <xf numFmtId="0" fontId="38" fillId="0" borderId="2" xfId="0" applyFont="1" applyBorder="1" applyAlignment="1" applyProtection="1">
      <alignment horizontal="center" vertical="center"/>
      <protection hidden="1"/>
    </xf>
    <xf numFmtId="0" fontId="18" fillId="25" borderId="39" xfId="0" applyFont="1" applyFill="1" applyBorder="1" applyAlignment="1" applyProtection="1">
      <alignment horizontal="center" vertical="center"/>
      <protection hidden="1"/>
    </xf>
    <xf numFmtId="0" fontId="13" fillId="15" borderId="63" xfId="0" applyFont="1" applyFill="1" applyBorder="1" applyAlignment="1" applyProtection="1">
      <alignment horizontal="center"/>
      <protection hidden="1"/>
    </xf>
    <xf numFmtId="0" fontId="13" fillId="15" borderId="36" xfId="0" applyFont="1" applyFill="1" applyBorder="1" applyAlignment="1" applyProtection="1">
      <alignment horizontal="center" vertical="center"/>
      <protection hidden="1"/>
    </xf>
    <xf numFmtId="0" fontId="13" fillId="15" borderId="38" xfId="0" applyFont="1" applyFill="1" applyBorder="1" applyAlignment="1" applyProtection="1">
      <alignment horizontal="center" vertical="center"/>
      <protection hidden="1"/>
    </xf>
    <xf numFmtId="0" fontId="18" fillId="26" borderId="39" xfId="0" applyFont="1" applyFill="1" applyBorder="1" applyAlignment="1" applyProtection="1">
      <alignment horizontal="center" vertical="center"/>
      <protection hidden="1"/>
    </xf>
    <xf numFmtId="0" fontId="47" fillId="0" borderId="2" xfId="0" applyFont="1" applyBorder="1" applyAlignment="1" applyProtection="1">
      <alignment horizontal="center" vertical="center"/>
      <protection hidden="1"/>
    </xf>
    <xf numFmtId="0" fontId="13" fillId="15" borderId="74" xfId="0" applyFont="1" applyFill="1" applyBorder="1" applyAlignment="1" applyProtection="1">
      <alignment horizontal="center" vertical="center"/>
      <protection hidden="1"/>
    </xf>
    <xf numFmtId="0" fontId="24" fillId="15" borderId="58" xfId="2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center" vertical="center"/>
      <protection hidden="1"/>
    </xf>
    <xf numFmtId="0" fontId="13" fillId="15" borderId="39" xfId="0" applyFont="1" applyFill="1" applyBorder="1" applyAlignment="1" applyProtection="1">
      <alignment horizontal="center" vertical="center"/>
      <protection hidden="1"/>
    </xf>
    <xf numFmtId="0" fontId="24" fillId="27" borderId="36" xfId="0" applyFont="1" applyFill="1" applyBorder="1" applyAlignment="1" applyProtection="1">
      <alignment horizontal="center" vertical="center"/>
      <protection hidden="1"/>
    </xf>
    <xf numFmtId="0" fontId="24" fillId="27" borderId="36" xfId="0" applyFont="1" applyFill="1" applyBorder="1" applyAlignment="1" applyProtection="1">
      <alignment horizontal="center"/>
      <protection hidden="1"/>
    </xf>
    <xf numFmtId="0" fontId="24" fillId="27" borderId="51" xfId="0" applyFont="1" applyFill="1" applyBorder="1" applyAlignment="1" applyProtection="1">
      <alignment horizontal="center"/>
      <protection hidden="1"/>
    </xf>
    <xf numFmtId="1" fontId="38" fillId="23" borderId="12" xfId="0" applyNumberFormat="1" applyFont="1" applyFill="1" applyBorder="1" applyAlignment="1" applyProtection="1">
      <alignment horizontal="center"/>
      <protection hidden="1"/>
    </xf>
    <xf numFmtId="1" fontId="38" fillId="23" borderId="2" xfId="0" applyNumberFormat="1" applyFont="1" applyFill="1" applyBorder="1" applyAlignment="1" applyProtection="1">
      <alignment horizontal="center"/>
      <protection hidden="1"/>
    </xf>
    <xf numFmtId="165" fontId="38" fillId="23" borderId="2" xfId="0" applyNumberFormat="1" applyFont="1" applyFill="1" applyBorder="1" applyAlignment="1" applyProtection="1">
      <alignment horizontal="center" vertical="center"/>
      <protection hidden="1"/>
    </xf>
    <xf numFmtId="165" fontId="19" fillId="23" borderId="40" xfId="0" applyNumberFormat="1" applyFont="1" applyFill="1" applyBorder="1" applyAlignment="1" applyProtection="1">
      <alignment horizontal="center" vertical="center"/>
      <protection hidden="1"/>
    </xf>
    <xf numFmtId="1" fontId="47" fillId="23" borderId="12" xfId="0" applyNumberFormat="1" applyFont="1" applyFill="1" applyBorder="1" applyAlignment="1" applyProtection="1">
      <alignment horizontal="center"/>
      <protection hidden="1"/>
    </xf>
    <xf numFmtId="0" fontId="0" fillId="23" borderId="0" xfId="0" applyFill="1" applyProtection="1">
      <protection hidden="1"/>
    </xf>
    <xf numFmtId="165" fontId="15" fillId="23" borderId="43" xfId="0" applyNumberFormat="1" applyFont="1" applyFill="1" applyBorder="1" applyAlignment="1" applyProtection="1">
      <alignment horizontal="center" vertical="center" wrapText="1"/>
      <protection hidden="1"/>
    </xf>
    <xf numFmtId="1" fontId="47" fillId="23" borderId="75" xfId="0" applyNumberFormat="1" applyFont="1" applyFill="1" applyBorder="1" applyAlignment="1" applyProtection="1">
      <alignment horizontal="center" vertical="center"/>
      <protection hidden="1"/>
    </xf>
    <xf numFmtId="1" fontId="47" fillId="23" borderId="12" xfId="0" applyNumberFormat="1" applyFont="1" applyFill="1" applyBorder="1" applyAlignment="1" applyProtection="1">
      <alignment horizontal="center" vertical="center"/>
      <protection hidden="1"/>
    </xf>
    <xf numFmtId="1" fontId="47" fillId="23" borderId="43" xfId="0" applyNumberFormat="1" applyFont="1" applyFill="1" applyBorder="1" applyAlignment="1" applyProtection="1">
      <alignment horizontal="center" vertical="center"/>
      <protection hidden="1"/>
    </xf>
    <xf numFmtId="1" fontId="47" fillId="23" borderId="2" xfId="0" applyNumberFormat="1" applyFont="1" applyFill="1" applyBorder="1" applyAlignment="1" applyProtection="1">
      <alignment horizontal="center" vertical="center"/>
      <protection hidden="1"/>
    </xf>
    <xf numFmtId="1" fontId="47" fillId="23" borderId="77" xfId="0" applyNumberFormat="1" applyFont="1" applyFill="1" applyBorder="1" applyAlignment="1" applyProtection="1">
      <alignment horizontal="center" vertical="center"/>
      <protection hidden="1"/>
    </xf>
    <xf numFmtId="1" fontId="47" fillId="23" borderId="11" xfId="0" applyNumberFormat="1" applyFont="1" applyFill="1" applyBorder="1" applyAlignment="1" applyProtection="1">
      <alignment horizontal="center" vertical="center"/>
      <protection hidden="1"/>
    </xf>
    <xf numFmtId="1" fontId="47" fillId="23" borderId="9" xfId="0" applyNumberFormat="1" applyFont="1" applyFill="1" applyBorder="1" applyAlignment="1" applyProtection="1">
      <alignment horizontal="center" vertical="center"/>
      <protection hidden="1"/>
    </xf>
    <xf numFmtId="1" fontId="47" fillId="23" borderId="40" xfId="0" applyNumberFormat="1" applyFont="1" applyFill="1" applyBorder="1" applyAlignment="1" applyProtection="1">
      <alignment horizontal="center" vertical="center"/>
      <protection hidden="1"/>
    </xf>
    <xf numFmtId="1" fontId="47" fillId="23" borderId="81" xfId="0" applyNumberFormat="1" applyFont="1" applyFill="1" applyBorder="1" applyAlignment="1" applyProtection="1">
      <alignment horizontal="center" vertical="center"/>
      <protection hidden="1"/>
    </xf>
    <xf numFmtId="1" fontId="38" fillId="23" borderId="76" xfId="0" applyNumberFormat="1" applyFont="1" applyFill="1" applyBorder="1" applyAlignment="1" applyProtection="1">
      <alignment horizontal="center"/>
      <protection hidden="1"/>
    </xf>
    <xf numFmtId="1" fontId="38" fillId="23" borderId="57" xfId="0" applyNumberFormat="1" applyFont="1" applyFill="1" applyBorder="1" applyAlignment="1" applyProtection="1">
      <alignment horizontal="center"/>
      <protection hidden="1"/>
    </xf>
    <xf numFmtId="1" fontId="38" fillId="23" borderId="78" xfId="0" applyNumberFormat="1" applyFont="1" applyFill="1" applyBorder="1" applyAlignment="1" applyProtection="1">
      <alignment horizontal="center"/>
      <protection hidden="1"/>
    </xf>
    <xf numFmtId="1" fontId="38" fillId="23" borderId="67" xfId="0" applyNumberFormat="1" applyFont="1" applyFill="1" applyBorder="1" applyAlignment="1" applyProtection="1">
      <alignment horizontal="center" vertical="center"/>
      <protection hidden="1"/>
    </xf>
    <xf numFmtId="0" fontId="38" fillId="23" borderId="67" xfId="0" applyFont="1" applyFill="1" applyBorder="1" applyAlignment="1" applyProtection="1">
      <alignment horizontal="center" vertical="center"/>
      <protection hidden="1"/>
    </xf>
    <xf numFmtId="1" fontId="38" fillId="23" borderId="41" xfId="0" applyNumberFormat="1" applyFont="1" applyFill="1" applyBorder="1" applyAlignment="1" applyProtection="1">
      <alignment horizontal="center" vertical="center"/>
      <protection hidden="1"/>
    </xf>
    <xf numFmtId="1" fontId="47" fillId="23" borderId="41" xfId="0" applyNumberFormat="1" applyFont="1" applyFill="1" applyBorder="1" applyAlignment="1" applyProtection="1">
      <alignment horizontal="center" vertical="center"/>
      <protection hidden="1"/>
    </xf>
    <xf numFmtId="1" fontId="0" fillId="23" borderId="0" xfId="0" applyNumberFormat="1" applyFill="1" applyProtection="1">
      <protection hidden="1"/>
    </xf>
    <xf numFmtId="0" fontId="13" fillId="23" borderId="83" xfId="0" applyFont="1" applyFill="1" applyBorder="1" applyAlignment="1" applyProtection="1">
      <alignment horizontal="center" vertical="center" wrapText="1"/>
      <protection hidden="1"/>
    </xf>
    <xf numFmtId="0" fontId="13" fillId="23" borderId="77" xfId="0" applyFont="1" applyFill="1" applyBorder="1" applyAlignment="1" applyProtection="1">
      <alignment horizontal="center" vertical="center" wrapText="1"/>
      <protection hidden="1"/>
    </xf>
    <xf numFmtId="0" fontId="13" fillId="23" borderId="78" xfId="0" applyFont="1" applyFill="1" applyBorder="1" applyAlignment="1" applyProtection="1">
      <alignment horizontal="center" vertical="center" wrapText="1"/>
      <protection hidden="1"/>
    </xf>
    <xf numFmtId="1" fontId="47" fillId="23" borderId="56" xfId="0" applyNumberFormat="1" applyFont="1" applyFill="1" applyBorder="1" applyAlignment="1" applyProtection="1">
      <alignment horizontal="center" vertical="center"/>
      <protection hidden="1"/>
    </xf>
    <xf numFmtId="1" fontId="47" fillId="23" borderId="57" xfId="0" applyNumberFormat="1" applyFont="1" applyFill="1" applyBorder="1" applyAlignment="1" applyProtection="1">
      <alignment horizontal="center" vertical="center"/>
      <protection hidden="1"/>
    </xf>
    <xf numFmtId="1" fontId="47" fillId="23" borderId="68" xfId="0" applyNumberFormat="1" applyFont="1" applyFill="1" applyBorder="1" applyAlignment="1" applyProtection="1">
      <alignment horizontal="center" vertical="center"/>
      <protection hidden="1"/>
    </xf>
    <xf numFmtId="1" fontId="47" fillId="23" borderId="67" xfId="0" applyNumberFormat="1" applyFont="1" applyFill="1" applyBorder="1" applyAlignment="1" applyProtection="1">
      <alignment horizontal="center" vertical="center"/>
      <protection hidden="1"/>
    </xf>
    <xf numFmtId="1" fontId="47" fillId="23" borderId="74" xfId="0" applyNumberFormat="1" applyFont="1" applyFill="1" applyBorder="1" applyAlignment="1" applyProtection="1">
      <alignment horizontal="center" vertical="center"/>
      <protection hidden="1"/>
    </xf>
    <xf numFmtId="1" fontId="47" fillId="23" borderId="76" xfId="0" applyNumberFormat="1" applyFont="1" applyFill="1" applyBorder="1" applyAlignment="1" applyProtection="1">
      <alignment horizontal="center" vertical="center"/>
      <protection hidden="1"/>
    </xf>
    <xf numFmtId="1" fontId="47" fillId="23" borderId="58" xfId="0" applyNumberFormat="1" applyFont="1" applyFill="1" applyBorder="1" applyAlignment="1" applyProtection="1">
      <alignment horizontal="center" vertical="center"/>
      <protection hidden="1"/>
    </xf>
    <xf numFmtId="1" fontId="47" fillId="23" borderId="59" xfId="0" applyNumberFormat="1" applyFont="1" applyFill="1" applyBorder="1" applyAlignment="1" applyProtection="1">
      <alignment horizontal="center" vertical="center"/>
      <protection hidden="1"/>
    </xf>
    <xf numFmtId="0" fontId="0" fillId="23" borderId="0" xfId="0" applyFill="1"/>
    <xf numFmtId="165" fontId="19" fillId="23" borderId="40" xfId="0" applyNumberFormat="1" applyFont="1" applyFill="1" applyBorder="1" applyAlignment="1" applyProtection="1">
      <alignment horizontal="center" vertical="center" wrapText="1"/>
      <protection hidden="1"/>
    </xf>
    <xf numFmtId="165" fontId="19" fillId="23" borderId="41" xfId="0" applyNumberFormat="1" applyFont="1" applyFill="1" applyBorder="1" applyAlignment="1" applyProtection="1">
      <alignment horizontal="center" vertical="center" wrapText="1"/>
      <protection hidden="1"/>
    </xf>
    <xf numFmtId="1" fontId="0" fillId="23" borderId="75" xfId="0" applyNumberFormat="1" applyFill="1" applyBorder="1" applyAlignment="1" applyProtection="1">
      <alignment horizontal="center" vertical="center"/>
      <protection hidden="1"/>
    </xf>
    <xf numFmtId="1" fontId="0" fillId="23" borderId="12" xfId="0" applyNumberFormat="1" applyFill="1" applyBorder="1" applyAlignment="1" applyProtection="1">
      <alignment horizontal="center" vertical="center"/>
      <protection hidden="1"/>
    </xf>
    <xf numFmtId="1" fontId="0" fillId="23" borderId="77" xfId="0" applyNumberFormat="1" applyFill="1" applyBorder="1" applyAlignment="1" applyProtection="1">
      <alignment horizontal="center" vertical="center"/>
      <protection hidden="1"/>
    </xf>
    <xf numFmtId="1" fontId="0" fillId="23" borderId="11" xfId="0" applyNumberFormat="1" applyFill="1" applyBorder="1" applyAlignment="1" applyProtection="1">
      <alignment horizontal="center" vertical="center"/>
      <protection hidden="1"/>
    </xf>
    <xf numFmtId="1" fontId="0" fillId="23" borderId="2" xfId="0" applyNumberFormat="1" applyFill="1" applyBorder="1" applyAlignment="1" applyProtection="1">
      <alignment horizontal="center" vertical="center"/>
      <protection hidden="1"/>
    </xf>
    <xf numFmtId="1" fontId="0" fillId="23" borderId="43" xfId="0" applyNumberFormat="1" applyFill="1" applyBorder="1" applyAlignment="1" applyProtection="1">
      <alignment horizontal="center" vertical="center"/>
      <protection hidden="1"/>
    </xf>
    <xf numFmtId="165" fontId="19" fillId="24" borderId="44" xfId="0" applyNumberFormat="1" applyFont="1" applyFill="1" applyBorder="1" applyAlignment="1" applyProtection="1">
      <alignment horizontal="center" vertical="center" wrapText="1"/>
      <protection hidden="1"/>
    </xf>
    <xf numFmtId="165" fontId="19" fillId="24" borderId="40" xfId="0" applyNumberFormat="1" applyFont="1" applyFill="1" applyBorder="1" applyAlignment="1" applyProtection="1">
      <alignment horizontal="center" vertical="center" wrapText="1"/>
      <protection hidden="1"/>
    </xf>
    <xf numFmtId="165" fontId="19" fillId="24" borderId="91" xfId="0" applyNumberFormat="1" applyFont="1" applyFill="1" applyBorder="1" applyAlignment="1" applyProtection="1">
      <alignment horizontal="center" vertical="center" wrapText="1"/>
      <protection hidden="1"/>
    </xf>
    <xf numFmtId="1" fontId="0" fillId="24" borderId="75" xfId="0" applyNumberFormat="1" applyFill="1" applyBorder="1" applyAlignment="1" applyProtection="1">
      <alignment horizontal="center" vertical="center"/>
      <protection hidden="1"/>
    </xf>
    <xf numFmtId="1" fontId="0" fillId="24" borderId="79" xfId="0" applyNumberFormat="1" applyFill="1" applyBorder="1" applyAlignment="1" applyProtection="1">
      <alignment horizontal="center" vertical="center"/>
      <protection hidden="1"/>
    </xf>
    <xf numFmtId="1" fontId="0" fillId="24" borderId="12" xfId="0" applyNumberFormat="1" applyFill="1" applyBorder="1" applyAlignment="1" applyProtection="1">
      <alignment horizontal="center" vertical="center"/>
      <protection hidden="1"/>
    </xf>
    <xf numFmtId="1" fontId="0" fillId="24" borderId="43" xfId="0" applyNumberFormat="1" applyFill="1" applyBorder="1" applyAlignment="1" applyProtection="1">
      <alignment horizontal="center" vertical="center"/>
      <protection hidden="1"/>
    </xf>
    <xf numFmtId="1" fontId="0" fillId="24" borderId="11" xfId="0" applyNumberFormat="1" applyFill="1" applyBorder="1" applyAlignment="1" applyProtection="1">
      <alignment horizontal="center" vertical="center"/>
      <protection hidden="1"/>
    </xf>
    <xf numFmtId="1" fontId="0" fillId="24" borderId="76" xfId="0" applyNumberFormat="1" applyFill="1" applyBorder="1" applyAlignment="1" applyProtection="1">
      <alignment horizontal="center" vertical="center"/>
      <protection hidden="1"/>
    </xf>
    <xf numFmtId="1" fontId="0" fillId="24" borderId="2" xfId="0" applyNumberFormat="1" applyFill="1" applyBorder="1" applyAlignment="1" applyProtection="1">
      <alignment horizontal="center" vertical="center"/>
      <protection hidden="1"/>
    </xf>
    <xf numFmtId="1" fontId="0" fillId="24" borderId="62" xfId="0" applyNumberFormat="1" applyFill="1" applyBorder="1" applyAlignment="1" applyProtection="1">
      <alignment horizontal="center" vertical="center"/>
      <protection hidden="1"/>
    </xf>
    <xf numFmtId="1" fontId="0" fillId="24" borderId="59" xfId="0" applyNumberFormat="1" applyFill="1" applyBorder="1" applyAlignment="1" applyProtection="1">
      <alignment horizontal="center" vertical="center"/>
      <protection hidden="1"/>
    </xf>
    <xf numFmtId="0" fontId="13" fillId="24" borderId="38" xfId="0" applyFont="1" applyFill="1" applyBorder="1" applyAlignment="1" applyProtection="1">
      <alignment horizontal="center" vertical="center" wrapText="1"/>
      <protection hidden="1"/>
    </xf>
    <xf numFmtId="0" fontId="19" fillId="24" borderId="41" xfId="0" applyFont="1" applyFill="1" applyBorder="1" applyAlignment="1" applyProtection="1">
      <alignment horizontal="center"/>
      <protection hidden="1"/>
    </xf>
    <xf numFmtId="1" fontId="47" fillId="24" borderId="57" xfId="0" applyNumberFormat="1" applyFont="1" applyFill="1" applyBorder="1" applyAlignment="1" applyProtection="1">
      <alignment horizontal="center"/>
      <protection hidden="1"/>
    </xf>
    <xf numFmtId="0" fontId="0" fillId="24" borderId="0" xfId="0" applyFill="1" applyProtection="1">
      <protection hidden="1"/>
    </xf>
    <xf numFmtId="165" fontId="15" fillId="24" borderId="43" xfId="0" applyNumberFormat="1" applyFont="1" applyFill="1" applyBorder="1" applyAlignment="1" applyProtection="1">
      <alignment horizontal="center" vertical="center" wrapText="1"/>
      <protection hidden="1"/>
    </xf>
    <xf numFmtId="165" fontId="15" fillId="24" borderId="59" xfId="0" applyNumberFormat="1" applyFont="1" applyFill="1" applyBorder="1" applyAlignment="1" applyProtection="1">
      <alignment horizontal="center" vertical="center" wrapText="1"/>
      <protection hidden="1"/>
    </xf>
    <xf numFmtId="1" fontId="47" fillId="24" borderId="75" xfId="0" applyNumberFormat="1" applyFont="1" applyFill="1" applyBorder="1" applyAlignment="1" applyProtection="1">
      <alignment horizontal="center" vertical="center"/>
      <protection hidden="1"/>
    </xf>
    <xf numFmtId="1" fontId="47" fillId="24" borderId="76" xfId="0" applyNumberFormat="1" applyFont="1" applyFill="1" applyBorder="1" applyAlignment="1" applyProtection="1">
      <alignment horizontal="center" vertical="center"/>
      <protection hidden="1"/>
    </xf>
    <xf numFmtId="1" fontId="47" fillId="24" borderId="12" xfId="0" applyNumberFormat="1" applyFont="1" applyFill="1" applyBorder="1" applyAlignment="1" applyProtection="1">
      <alignment horizontal="center" vertical="center"/>
      <protection hidden="1"/>
    </xf>
    <xf numFmtId="1" fontId="47" fillId="24" borderId="79" xfId="0" applyNumberFormat="1" applyFont="1" applyFill="1" applyBorder="1" applyAlignment="1" applyProtection="1">
      <alignment horizontal="center" vertical="center"/>
      <protection hidden="1"/>
    </xf>
    <xf numFmtId="1" fontId="47" fillId="24" borderId="4" xfId="0" applyNumberFormat="1" applyFont="1" applyFill="1" applyBorder="1" applyAlignment="1" applyProtection="1">
      <alignment horizontal="center" vertical="center"/>
      <protection hidden="1"/>
    </xf>
    <xf numFmtId="1" fontId="47" fillId="24" borderId="85" xfId="0" applyNumberFormat="1" applyFont="1" applyFill="1" applyBorder="1" applyAlignment="1" applyProtection="1">
      <alignment horizontal="center" vertical="center"/>
      <protection hidden="1"/>
    </xf>
    <xf numFmtId="1" fontId="47" fillId="24" borderId="57" xfId="0" applyNumberFormat="1" applyFont="1" applyFill="1" applyBorder="1" applyAlignment="1" applyProtection="1">
      <alignment horizontal="center" vertical="center"/>
      <protection hidden="1"/>
    </xf>
    <xf numFmtId="1" fontId="47" fillId="24" borderId="78" xfId="0" applyNumberFormat="1" applyFont="1" applyFill="1" applyBorder="1" applyAlignment="1" applyProtection="1">
      <alignment horizontal="center" vertical="center"/>
      <protection hidden="1"/>
    </xf>
    <xf numFmtId="1" fontId="47" fillId="24" borderId="11" xfId="0" applyNumberFormat="1" applyFont="1" applyFill="1" applyBorder="1" applyAlignment="1" applyProtection="1">
      <alignment horizontal="center" vertical="center"/>
      <protection hidden="1"/>
    </xf>
    <xf numFmtId="1" fontId="47" fillId="24" borderId="67" xfId="0" applyNumberFormat="1" applyFont="1" applyFill="1" applyBorder="1" applyAlignment="1" applyProtection="1">
      <alignment horizontal="center" vertical="center"/>
      <protection hidden="1"/>
    </xf>
    <xf numFmtId="1" fontId="47" fillId="24" borderId="9" xfId="0" applyNumberFormat="1" applyFont="1" applyFill="1" applyBorder="1" applyAlignment="1" applyProtection="1">
      <alignment horizontal="center" vertical="center"/>
      <protection hidden="1"/>
    </xf>
    <xf numFmtId="1" fontId="47" fillId="24" borderId="77" xfId="0" applyNumberFormat="1" applyFont="1" applyFill="1" applyBorder="1" applyAlignment="1" applyProtection="1">
      <alignment horizontal="center" vertical="center"/>
      <protection hidden="1"/>
    </xf>
    <xf numFmtId="1" fontId="47" fillId="24" borderId="40" xfId="0" applyNumberFormat="1" applyFont="1" applyFill="1" applyBorder="1" applyAlignment="1" applyProtection="1">
      <alignment horizontal="center" vertical="center"/>
      <protection hidden="1"/>
    </xf>
    <xf numFmtId="1" fontId="47" fillId="24" borderId="41" xfId="0" applyNumberFormat="1" applyFont="1" applyFill="1" applyBorder="1" applyAlignment="1" applyProtection="1">
      <alignment horizontal="center" vertical="center"/>
      <protection hidden="1"/>
    </xf>
    <xf numFmtId="1" fontId="47" fillId="24" borderId="81" xfId="0" applyNumberFormat="1" applyFont="1" applyFill="1" applyBorder="1" applyAlignment="1" applyProtection="1">
      <alignment horizontal="center" vertical="center"/>
      <protection hidden="1"/>
    </xf>
    <xf numFmtId="1" fontId="47" fillId="24" borderId="82" xfId="0" applyNumberFormat="1" applyFont="1" applyFill="1" applyBorder="1" applyAlignment="1" applyProtection="1">
      <alignment horizontal="center" vertical="center"/>
      <protection hidden="1"/>
    </xf>
    <xf numFmtId="0" fontId="13" fillId="24" borderId="83" xfId="0" applyFont="1" applyFill="1" applyBorder="1" applyAlignment="1" applyProtection="1">
      <alignment horizontal="center" vertical="center" wrapText="1"/>
      <protection hidden="1"/>
    </xf>
    <xf numFmtId="0" fontId="13" fillId="24" borderId="77" xfId="0" applyFont="1" applyFill="1" applyBorder="1" applyAlignment="1" applyProtection="1">
      <alignment horizontal="center" vertical="center" wrapText="1"/>
      <protection hidden="1"/>
    </xf>
    <xf numFmtId="0" fontId="13" fillId="24" borderId="78" xfId="0" applyFont="1" applyFill="1" applyBorder="1" applyAlignment="1" applyProtection="1">
      <alignment horizontal="center" vertical="center" wrapText="1"/>
      <protection hidden="1"/>
    </xf>
    <xf numFmtId="1" fontId="47" fillId="24" borderId="56" xfId="0" applyNumberFormat="1" applyFont="1" applyFill="1" applyBorder="1" applyAlignment="1" applyProtection="1">
      <alignment horizontal="center" vertical="center"/>
      <protection hidden="1"/>
    </xf>
    <xf numFmtId="1" fontId="47" fillId="24" borderId="61" xfId="0" applyNumberFormat="1" applyFont="1" applyFill="1" applyBorder="1" applyAlignment="1" applyProtection="1">
      <alignment horizontal="center" vertical="center"/>
      <protection hidden="1"/>
    </xf>
    <xf numFmtId="0" fontId="47" fillId="24" borderId="74" xfId="0" applyFont="1" applyFill="1" applyBorder="1" applyAlignment="1" applyProtection="1">
      <alignment horizontal="center" vertical="center"/>
      <protection hidden="1"/>
    </xf>
    <xf numFmtId="0" fontId="47" fillId="24" borderId="75" xfId="0" applyFont="1" applyFill="1" applyBorder="1" applyAlignment="1" applyProtection="1">
      <alignment horizontal="center" vertical="center"/>
      <protection hidden="1"/>
    </xf>
    <xf numFmtId="0" fontId="47" fillId="24" borderId="76" xfId="0" applyFont="1" applyFill="1" applyBorder="1" applyAlignment="1" applyProtection="1">
      <alignment horizontal="center" vertical="center"/>
      <protection hidden="1"/>
    </xf>
    <xf numFmtId="0" fontId="47" fillId="24" borderId="58" xfId="0" applyFont="1" applyFill="1" applyBorder="1" applyAlignment="1" applyProtection="1">
      <alignment horizontal="center" vertical="center"/>
      <protection hidden="1"/>
    </xf>
    <xf numFmtId="0" fontId="47" fillId="24" borderId="43" xfId="0" applyFont="1" applyFill="1" applyBorder="1" applyAlignment="1" applyProtection="1">
      <alignment horizontal="center" vertical="center"/>
      <protection hidden="1"/>
    </xf>
    <xf numFmtId="0" fontId="47" fillId="24" borderId="59" xfId="0" applyFont="1" applyFill="1" applyBorder="1" applyAlignment="1" applyProtection="1">
      <alignment horizontal="center" vertical="center"/>
      <protection hidden="1"/>
    </xf>
    <xf numFmtId="0" fontId="42" fillId="23" borderId="40" xfId="5" applyFont="1" applyFill="1" applyBorder="1" applyAlignment="1" applyProtection="1">
      <alignment horizontal="center" vertical="center" wrapText="1"/>
      <protection hidden="1"/>
    </xf>
    <xf numFmtId="1" fontId="28" fillId="23" borderId="6" xfId="9" applyNumberFormat="1" applyFont="1" applyFill="1" applyBorder="1" applyAlignment="1" applyProtection="1">
      <alignment horizontal="center" vertical="center"/>
      <protection hidden="1"/>
    </xf>
    <xf numFmtId="1" fontId="42" fillId="23" borderId="6" xfId="9" applyNumberFormat="1" applyFont="1" applyFill="1" applyBorder="1" applyAlignment="1" applyProtection="1">
      <alignment horizontal="center" vertical="center"/>
      <protection hidden="1"/>
    </xf>
    <xf numFmtId="1" fontId="28" fillId="23" borderId="86" xfId="9" applyNumberFormat="1" applyFont="1" applyFill="1" applyBorder="1" applyAlignment="1" applyProtection="1">
      <alignment horizontal="center" vertical="center"/>
      <protection hidden="1"/>
    </xf>
    <xf numFmtId="1" fontId="28" fillId="23" borderId="75" xfId="9" applyNumberFormat="1" applyFont="1" applyFill="1" applyBorder="1" applyAlignment="1" applyProtection="1">
      <alignment horizontal="center" vertical="center"/>
      <protection hidden="1"/>
    </xf>
    <xf numFmtId="1" fontId="42" fillId="23" borderId="2" xfId="9" applyNumberFormat="1" applyFont="1" applyFill="1" applyBorder="1" applyAlignment="1" applyProtection="1">
      <alignment horizontal="center" vertical="center"/>
      <protection hidden="1"/>
    </xf>
    <xf numFmtId="1" fontId="28" fillId="23" borderId="2" xfId="9" applyNumberFormat="1" applyFont="1" applyFill="1" applyBorder="1" applyAlignment="1" applyProtection="1">
      <alignment horizontal="center" vertical="center"/>
      <protection hidden="1"/>
    </xf>
    <xf numFmtId="1" fontId="28" fillId="23" borderId="43" xfId="9" applyNumberFormat="1" applyFont="1" applyFill="1" applyBorder="1" applyAlignment="1" applyProtection="1">
      <alignment horizontal="center" vertical="center"/>
      <protection hidden="1"/>
    </xf>
    <xf numFmtId="1" fontId="28" fillId="23" borderId="79" xfId="9" applyNumberFormat="1" applyFont="1" applyFill="1" applyBorder="1" applyAlignment="1" applyProtection="1">
      <alignment horizontal="center" vertical="center"/>
      <protection hidden="1"/>
    </xf>
    <xf numFmtId="0" fontId="4" fillId="23" borderId="0" xfId="0" applyFont="1" applyFill="1" applyBorder="1" applyAlignment="1">
      <alignment horizontal="center" vertical="center"/>
    </xf>
    <xf numFmtId="0" fontId="4" fillId="23" borderId="0" xfId="0" applyFont="1" applyFill="1" applyAlignment="1">
      <alignment horizontal="center" vertical="center"/>
    </xf>
    <xf numFmtId="1" fontId="28" fillId="23" borderId="76" xfId="9" applyNumberFormat="1" applyFont="1" applyFill="1" applyBorder="1" applyAlignment="1" applyProtection="1">
      <alignment horizontal="center" vertical="center"/>
      <protection hidden="1"/>
    </xf>
    <xf numFmtId="1" fontId="28" fillId="23" borderId="62" xfId="9" applyNumberFormat="1" applyFont="1" applyFill="1" applyBorder="1" applyAlignment="1" applyProtection="1">
      <alignment horizontal="center" vertical="center"/>
      <protection hidden="1"/>
    </xf>
    <xf numFmtId="1" fontId="28" fillId="23" borderId="59" xfId="9" applyNumberFormat="1" applyFont="1" applyFill="1" applyBorder="1" applyAlignment="1" applyProtection="1">
      <alignment horizontal="center" vertical="center"/>
      <protection hidden="1"/>
    </xf>
    <xf numFmtId="1" fontId="28" fillId="23" borderId="57" xfId="9" applyNumberFormat="1" applyFont="1" applyFill="1" applyBorder="1" applyAlignment="1" applyProtection="1">
      <alignment horizontal="center" vertical="center"/>
      <protection hidden="1"/>
    </xf>
    <xf numFmtId="0" fontId="27" fillId="23" borderId="0" xfId="5" applyFill="1" applyProtection="1">
      <protection hidden="1"/>
    </xf>
    <xf numFmtId="0" fontId="30" fillId="23" borderId="38" xfId="5" applyFont="1" applyFill="1" applyBorder="1" applyAlignment="1" applyProtection="1">
      <alignment horizontal="center" vertical="center" wrapText="1"/>
      <protection hidden="1"/>
    </xf>
    <xf numFmtId="1" fontId="42" fillId="23" borderId="12" xfId="1" applyNumberFormat="1" applyFont="1" applyFill="1" applyBorder="1" applyAlignment="1">
      <alignment horizontal="center" vertical="center" wrapText="1"/>
    </xf>
    <xf numFmtId="1" fontId="42" fillId="23" borderId="2" xfId="1" applyNumberFormat="1" applyFont="1" applyFill="1" applyBorder="1" applyAlignment="1">
      <alignment horizontal="center" vertical="center" wrapText="1"/>
    </xf>
    <xf numFmtId="0" fontId="1" fillId="23" borderId="0" xfId="0" applyFont="1" applyFill="1"/>
    <xf numFmtId="0" fontId="13" fillId="23" borderId="38" xfId="0" applyFont="1" applyFill="1" applyBorder="1" applyAlignment="1" applyProtection="1">
      <alignment horizontal="center"/>
      <protection hidden="1"/>
    </xf>
    <xf numFmtId="168" fontId="47" fillId="18" borderId="12" xfId="11" applyNumberFormat="1" applyFont="1" applyFill="1" applyBorder="1" applyAlignment="1" applyProtection="1">
      <alignment horizontal="center"/>
      <protection hidden="1"/>
    </xf>
    <xf numFmtId="168" fontId="47" fillId="23" borderId="12" xfId="11" applyNumberFormat="1" applyFont="1" applyFill="1" applyBorder="1" applyAlignment="1" applyProtection="1">
      <alignment horizontal="center"/>
      <protection hidden="1"/>
    </xf>
    <xf numFmtId="168" fontId="47" fillId="24" borderId="57" xfId="11" applyNumberFormat="1" applyFont="1" applyFill="1" applyBorder="1" applyAlignment="1" applyProtection="1">
      <alignment horizontal="center"/>
      <protection hidden="1"/>
    </xf>
    <xf numFmtId="168" fontId="47" fillId="23" borderId="2" xfId="11" applyNumberFormat="1" applyFont="1" applyFill="1" applyBorder="1" applyAlignment="1" applyProtection="1">
      <alignment horizontal="center"/>
      <protection hidden="1"/>
    </xf>
    <xf numFmtId="168" fontId="47" fillId="24" borderId="62" xfId="11" applyNumberFormat="1" applyFont="1" applyFill="1" applyBorder="1" applyAlignment="1" applyProtection="1">
      <alignment horizontal="center"/>
      <protection hidden="1"/>
    </xf>
    <xf numFmtId="168" fontId="47" fillId="23" borderId="9" xfId="11" applyNumberFormat="1" applyFont="1" applyFill="1" applyBorder="1" applyAlignment="1" applyProtection="1">
      <alignment horizontal="center"/>
      <protection hidden="1"/>
    </xf>
    <xf numFmtId="168" fontId="47" fillId="24" borderId="84" xfId="11" applyNumberFormat="1" applyFont="1" applyFill="1" applyBorder="1" applyAlignment="1" applyProtection="1">
      <alignment horizontal="center"/>
      <protection hidden="1"/>
    </xf>
    <xf numFmtId="168" fontId="47" fillId="24" borderId="2" xfId="11" applyNumberFormat="1" applyFont="1" applyFill="1" applyBorder="1" applyAlignment="1" applyProtection="1">
      <alignment horizontal="center"/>
      <protection hidden="1"/>
    </xf>
    <xf numFmtId="0" fontId="18" fillId="26" borderId="36" xfId="0" applyFont="1" applyFill="1" applyBorder="1" applyAlignment="1" applyProtection="1">
      <alignment horizontal="center" vertical="center"/>
      <protection hidden="1"/>
    </xf>
    <xf numFmtId="0" fontId="13" fillId="24" borderId="46" xfId="0" applyFont="1" applyFill="1" applyBorder="1" applyAlignment="1" applyProtection="1">
      <alignment horizontal="center" vertical="center" wrapText="1"/>
      <protection hidden="1"/>
    </xf>
    <xf numFmtId="0" fontId="13" fillId="14" borderId="55" xfId="0" applyFont="1" applyFill="1" applyBorder="1" applyAlignment="1">
      <alignment horizontal="center" vertical="center"/>
    </xf>
    <xf numFmtId="0" fontId="13" fillId="14" borderId="54" xfId="0" applyFont="1" applyFill="1" applyBorder="1" applyAlignment="1">
      <alignment horizontal="center" vertical="center"/>
    </xf>
    <xf numFmtId="0" fontId="13" fillId="14" borderId="51" xfId="0" applyFont="1" applyFill="1" applyBorder="1" applyAlignment="1" applyProtection="1">
      <alignment horizontal="center" vertical="center"/>
      <protection hidden="1"/>
    </xf>
    <xf numFmtId="0" fontId="13" fillId="14" borderId="53" xfId="0" applyFont="1" applyFill="1" applyBorder="1" applyAlignment="1" applyProtection="1">
      <alignment horizontal="center" vertical="center"/>
      <protection hidden="1"/>
    </xf>
    <xf numFmtId="0" fontId="0" fillId="24" borderId="0" xfId="0" applyFill="1" applyAlignment="1" applyProtection="1">
      <alignment horizontal="center"/>
      <protection hidden="1"/>
    </xf>
    <xf numFmtId="0" fontId="53" fillId="22" borderId="100" xfId="6" applyFont="1" applyFill="1" applyBorder="1" applyAlignment="1">
      <alignment horizontal="left" vertical="center"/>
    </xf>
    <xf numFmtId="0" fontId="53" fillId="22" borderId="106" xfId="6" applyFont="1" applyFill="1" applyBorder="1" applyAlignment="1">
      <alignment horizontal="left" vertical="center"/>
    </xf>
    <xf numFmtId="0" fontId="12" fillId="25" borderId="47" xfId="0" applyFont="1" applyFill="1" applyBorder="1" applyProtection="1">
      <protection hidden="1"/>
    </xf>
    <xf numFmtId="0" fontId="12" fillId="25" borderId="36" xfId="0" applyFont="1" applyFill="1" applyBorder="1" applyProtection="1">
      <protection hidden="1"/>
    </xf>
    <xf numFmtId="1" fontId="0" fillId="9" borderId="42" xfId="0" applyNumberFormat="1" applyFill="1" applyBorder="1" applyAlignment="1" applyProtection="1">
      <alignment vertical="center"/>
      <protection hidden="1"/>
    </xf>
    <xf numFmtId="1" fontId="0" fillId="9" borderId="37" xfId="0" applyNumberFormat="1" applyFill="1" applyBorder="1" applyAlignment="1" applyProtection="1">
      <alignment vertical="center"/>
      <protection hidden="1"/>
    </xf>
    <xf numFmtId="0" fontId="12" fillId="25" borderId="53" xfId="0" applyFont="1" applyFill="1" applyBorder="1" applyProtection="1">
      <protection hidden="1"/>
    </xf>
    <xf numFmtId="0" fontId="12" fillId="25" borderId="51" xfId="0" applyFont="1" applyFill="1" applyBorder="1" applyProtection="1">
      <protection hidden="1"/>
    </xf>
    <xf numFmtId="0" fontId="54" fillId="22" borderId="0" xfId="0" applyFont="1" applyFill="1" applyBorder="1"/>
    <xf numFmtId="0" fontId="0" fillId="0" borderId="12" xfId="0" applyFill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 vertical="center"/>
      <protection hidden="1"/>
    </xf>
    <xf numFmtId="0" fontId="0" fillId="0" borderId="43" xfId="0" applyFill="1" applyBorder="1" applyAlignment="1" applyProtection="1">
      <alignment horizontal="center" vertical="center"/>
      <protection hidden="1"/>
    </xf>
    <xf numFmtId="49" fontId="47" fillId="0" borderId="56" xfId="0" applyNumberFormat="1" applyFont="1" applyFill="1" applyBorder="1" applyAlignment="1" applyProtection="1">
      <alignment horizontal="center" vertical="center"/>
      <protection hidden="1"/>
    </xf>
    <xf numFmtId="49" fontId="47" fillId="0" borderId="61" xfId="0" applyNumberFormat="1" applyFont="1" applyFill="1" applyBorder="1" applyAlignment="1" applyProtection="1">
      <alignment horizontal="center" vertical="center"/>
      <protection hidden="1"/>
    </xf>
    <xf numFmtId="49" fontId="47" fillId="0" borderId="2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1" fontId="0" fillId="0" borderId="0" xfId="0" applyNumberFormat="1" applyFill="1" applyProtection="1">
      <protection hidden="1"/>
    </xf>
    <xf numFmtId="1" fontId="0" fillId="6" borderId="0" xfId="0" applyNumberFormat="1" applyFill="1"/>
    <xf numFmtId="168" fontId="47" fillId="23" borderId="58" xfId="11" applyNumberFormat="1" applyFont="1" applyFill="1" applyBorder="1" applyAlignment="1" applyProtection="1">
      <alignment horizontal="center" vertical="center"/>
      <protection hidden="1"/>
    </xf>
    <xf numFmtId="2" fontId="0" fillId="0" borderId="0" xfId="0" applyNumberFormat="1" applyProtection="1">
      <protection hidden="1"/>
    </xf>
    <xf numFmtId="49" fontId="47" fillId="0" borderId="74" xfId="0" applyNumberFormat="1" applyFont="1" applyFill="1" applyBorder="1" applyAlignment="1" applyProtection="1">
      <alignment horizontal="center" vertical="center" wrapText="1"/>
      <protection hidden="1"/>
    </xf>
    <xf numFmtId="49" fontId="47" fillId="0" borderId="60" xfId="0" applyNumberFormat="1" applyFont="1" applyFill="1" applyBorder="1" applyAlignment="1" applyProtection="1">
      <alignment horizontal="center" vertical="center" wrapText="1"/>
      <protection hidden="1"/>
    </xf>
    <xf numFmtId="49" fontId="47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47" fillId="0" borderId="83" xfId="0" applyNumberFormat="1" applyFont="1" applyFill="1" applyBorder="1" applyAlignment="1" applyProtection="1">
      <alignment horizontal="center" vertical="center"/>
      <protection hidden="1"/>
    </xf>
    <xf numFmtId="0" fontId="55" fillId="22" borderId="111" xfId="2" applyFont="1" applyFill="1" applyBorder="1" applyAlignment="1">
      <alignment horizontal="center" vertical="center" wrapText="1"/>
    </xf>
    <xf numFmtId="0" fontId="56" fillId="22" borderId="112" xfId="0" applyFont="1" applyFill="1" applyBorder="1" applyAlignment="1">
      <alignment horizontal="center" vertical="center" wrapText="1"/>
    </xf>
    <xf numFmtId="0" fontId="56" fillId="22" borderId="115" xfId="0" applyFont="1" applyFill="1" applyBorder="1" applyAlignment="1">
      <alignment horizontal="center" vertical="center" wrapText="1"/>
    </xf>
    <xf numFmtId="0" fontId="56" fillId="22" borderId="113" xfId="0" applyFont="1" applyFill="1" applyBorder="1" applyAlignment="1">
      <alignment horizontal="center" vertical="center" wrapText="1"/>
    </xf>
    <xf numFmtId="0" fontId="56" fillId="22" borderId="0" xfId="0" applyFont="1" applyFill="1" applyBorder="1" applyAlignment="1">
      <alignment horizontal="center" vertical="center" wrapText="1"/>
    </xf>
    <xf numFmtId="0" fontId="56" fillId="22" borderId="116" xfId="0" applyFont="1" applyFill="1" applyBorder="1" applyAlignment="1">
      <alignment horizontal="center" vertical="center" wrapText="1"/>
    </xf>
    <xf numFmtId="0" fontId="56" fillId="22" borderId="117" xfId="0" applyFont="1" applyFill="1" applyBorder="1" applyAlignment="1">
      <alignment horizontal="center" vertical="center" wrapText="1"/>
    </xf>
    <xf numFmtId="0" fontId="56" fillId="22" borderId="118" xfId="0" applyFont="1" applyFill="1" applyBorder="1" applyAlignment="1">
      <alignment horizontal="center" vertical="center" wrapText="1"/>
    </xf>
    <xf numFmtId="0" fontId="56" fillId="22" borderId="119" xfId="0" applyFont="1" applyFill="1" applyBorder="1" applyAlignment="1">
      <alignment horizontal="center" vertical="center" wrapText="1"/>
    </xf>
    <xf numFmtId="0" fontId="13" fillId="14" borderId="51" xfId="0" applyFont="1" applyFill="1" applyBorder="1" applyAlignment="1">
      <alignment horizontal="center" vertical="center"/>
    </xf>
    <xf numFmtId="0" fontId="13" fillId="14" borderId="55" xfId="0" applyFont="1" applyFill="1" applyBorder="1" applyAlignment="1">
      <alignment horizontal="center" vertical="center"/>
    </xf>
    <xf numFmtId="0" fontId="13" fillId="14" borderId="52" xfId="0" applyFont="1" applyFill="1" applyBorder="1" applyAlignment="1">
      <alignment horizontal="center" vertical="center"/>
    </xf>
    <xf numFmtId="0" fontId="13" fillId="14" borderId="97" xfId="0" applyFont="1" applyFill="1" applyBorder="1" applyAlignment="1">
      <alignment horizontal="center" vertical="center"/>
    </xf>
    <xf numFmtId="0" fontId="13" fillId="14" borderId="0" xfId="0" applyFont="1" applyFill="1" applyBorder="1" applyAlignment="1">
      <alignment horizontal="center" vertical="center"/>
    </xf>
    <xf numFmtId="0" fontId="13" fillId="14" borderId="49" xfId="0" applyFont="1" applyFill="1" applyBorder="1" applyAlignment="1">
      <alignment horizontal="center" vertical="center"/>
    </xf>
    <xf numFmtId="0" fontId="13" fillId="14" borderId="53" xfId="0" applyFont="1" applyFill="1" applyBorder="1" applyAlignment="1">
      <alignment horizontal="center" vertical="center"/>
    </xf>
    <xf numFmtId="0" fontId="13" fillId="14" borderId="54" xfId="0" applyFont="1" applyFill="1" applyBorder="1" applyAlignment="1">
      <alignment horizontal="center" vertical="center"/>
    </xf>
    <xf numFmtId="0" fontId="13" fillId="14" borderId="48" xfId="0" applyFont="1" applyFill="1" applyBorder="1" applyAlignment="1">
      <alignment horizontal="center" vertical="center"/>
    </xf>
    <xf numFmtId="0" fontId="13" fillId="14" borderId="50" xfId="6" applyFont="1" applyFill="1" applyBorder="1" applyAlignment="1">
      <alignment horizontal="center" vertical="center"/>
    </xf>
    <xf numFmtId="0" fontId="13" fillId="14" borderId="47" xfId="6" applyFont="1" applyFill="1" applyBorder="1" applyAlignment="1">
      <alignment horizontal="center" vertical="center"/>
    </xf>
    <xf numFmtId="0" fontId="36" fillId="15" borderId="73" xfId="6" applyFill="1" applyBorder="1" applyAlignment="1">
      <alignment horizontal="center" vertical="center"/>
    </xf>
    <xf numFmtId="0" fontId="36" fillId="15" borderId="64" xfId="6" applyFill="1" applyBorder="1" applyAlignment="1">
      <alignment horizontal="center" vertical="center"/>
    </xf>
    <xf numFmtId="0" fontId="13" fillId="24" borderId="36" xfId="0" applyFont="1" applyFill="1" applyBorder="1" applyAlignment="1">
      <alignment horizontal="center" vertical="center" wrapText="1"/>
    </xf>
    <xf numFmtId="0" fontId="13" fillId="24" borderId="42" xfId="0" applyFont="1" applyFill="1" applyBorder="1" applyAlignment="1">
      <alignment horizontal="center" vertical="center" wrapText="1"/>
    </xf>
    <xf numFmtId="0" fontId="13" fillId="24" borderId="37" xfId="0" applyFont="1" applyFill="1" applyBorder="1" applyAlignment="1">
      <alignment horizontal="center" vertical="center" wrapText="1"/>
    </xf>
    <xf numFmtId="0" fontId="13" fillId="18" borderId="36" xfId="0" applyFont="1" applyFill="1" applyBorder="1" applyAlignment="1">
      <alignment horizontal="center" vertical="center" wrapText="1"/>
    </xf>
    <xf numFmtId="0" fontId="13" fillId="18" borderId="42" xfId="0" applyFont="1" applyFill="1" applyBorder="1" applyAlignment="1">
      <alignment horizontal="center" vertical="center" wrapText="1"/>
    </xf>
    <xf numFmtId="0" fontId="13" fillId="18" borderId="37" xfId="0" applyFont="1" applyFill="1" applyBorder="1" applyAlignment="1">
      <alignment horizontal="center" vertical="center" wrapText="1"/>
    </xf>
    <xf numFmtId="0" fontId="13" fillId="23" borderId="36" xfId="0" applyFont="1" applyFill="1" applyBorder="1" applyAlignment="1">
      <alignment horizontal="center" vertical="center" wrapText="1"/>
    </xf>
    <xf numFmtId="0" fontId="13" fillId="23" borderId="42" xfId="0" applyFont="1" applyFill="1" applyBorder="1" applyAlignment="1">
      <alignment horizontal="center" vertical="center" wrapText="1"/>
    </xf>
    <xf numFmtId="0" fontId="13" fillId="23" borderId="37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center" wrapText="1"/>
    </xf>
    <xf numFmtId="0" fontId="13" fillId="7" borderId="17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center" vertical="center" wrapText="1"/>
    </xf>
    <xf numFmtId="0" fontId="13" fillId="8" borderId="17" xfId="0" applyFont="1" applyFill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0" fontId="13" fillId="14" borderId="46" xfId="6" applyFont="1" applyFill="1" applyBorder="1" applyAlignment="1">
      <alignment horizontal="center" vertical="center"/>
    </xf>
    <xf numFmtId="0" fontId="13" fillId="18" borderId="36" xfId="0" applyFont="1" applyFill="1" applyBorder="1" applyAlignment="1">
      <alignment horizontal="center" vertical="center"/>
    </xf>
    <xf numFmtId="0" fontId="13" fillId="18" borderId="42" xfId="0" applyFont="1" applyFill="1" applyBorder="1" applyAlignment="1">
      <alignment horizontal="center" vertical="center"/>
    </xf>
    <xf numFmtId="0" fontId="13" fillId="18" borderId="37" xfId="0" applyFont="1" applyFill="1" applyBorder="1" applyAlignment="1">
      <alignment horizontal="center" vertical="center"/>
    </xf>
    <xf numFmtId="0" fontId="24" fillId="14" borderId="46" xfId="6" applyFont="1" applyFill="1" applyBorder="1" applyAlignment="1">
      <alignment horizontal="center" vertical="center"/>
    </xf>
    <xf numFmtId="0" fontId="24" fillId="14" borderId="47" xfId="6" applyFont="1" applyFill="1" applyBorder="1" applyAlignment="1">
      <alignment horizontal="center" vertical="center"/>
    </xf>
    <xf numFmtId="0" fontId="13" fillId="23" borderId="51" xfId="0" applyFont="1" applyFill="1" applyBorder="1" applyAlignment="1" applyProtection="1">
      <alignment horizontal="center" vertical="center" wrapText="1"/>
      <protection hidden="1"/>
    </xf>
    <xf numFmtId="0" fontId="13" fillId="23" borderId="52" xfId="0" applyFont="1" applyFill="1" applyBorder="1" applyAlignment="1" applyProtection="1">
      <alignment horizontal="center" vertical="center" wrapText="1"/>
      <protection hidden="1"/>
    </xf>
    <xf numFmtId="0" fontId="13" fillId="18" borderId="51" xfId="0" applyFont="1" applyFill="1" applyBorder="1" applyAlignment="1" applyProtection="1">
      <alignment horizontal="center" vertical="center" wrapText="1"/>
      <protection hidden="1"/>
    </xf>
    <xf numFmtId="0" fontId="13" fillId="18" borderId="55" xfId="0" applyFont="1" applyFill="1" applyBorder="1" applyAlignment="1" applyProtection="1">
      <alignment horizontal="center" vertical="center" wrapText="1"/>
      <protection hidden="1"/>
    </xf>
    <xf numFmtId="0" fontId="13" fillId="18" borderId="52" xfId="0" applyFont="1" applyFill="1" applyBorder="1" applyAlignment="1" applyProtection="1">
      <alignment horizontal="center" vertical="center" wrapText="1"/>
      <protection hidden="1"/>
    </xf>
    <xf numFmtId="0" fontId="13" fillId="15" borderId="46" xfId="0" applyFont="1" applyFill="1" applyBorder="1" applyAlignment="1" applyProtection="1">
      <alignment horizontal="center" vertical="center" wrapText="1"/>
      <protection hidden="1"/>
    </xf>
    <xf numFmtId="0" fontId="13" fillId="15" borderId="53" xfId="0" applyFont="1" applyFill="1" applyBorder="1" applyAlignment="1" applyProtection="1">
      <alignment horizontal="center" vertical="center" wrapText="1"/>
      <protection hidden="1"/>
    </xf>
    <xf numFmtId="2" fontId="19" fillId="18" borderId="2" xfId="0" applyNumberFormat="1" applyFont="1" applyFill="1" applyBorder="1" applyAlignment="1" applyProtection="1">
      <alignment horizontal="center" vertical="top" wrapText="1"/>
      <protection hidden="1"/>
    </xf>
    <xf numFmtId="165" fontId="19" fillId="18" borderId="2" xfId="0" applyNumberFormat="1" applyFont="1" applyFill="1" applyBorder="1" applyAlignment="1" applyProtection="1">
      <alignment horizontal="center" vertical="top"/>
      <protection hidden="1"/>
    </xf>
    <xf numFmtId="165" fontId="19" fillId="23" borderId="2" xfId="0" applyNumberFormat="1" applyFont="1" applyFill="1" applyBorder="1" applyAlignment="1" applyProtection="1">
      <alignment horizontal="center" vertical="top"/>
      <protection hidden="1"/>
    </xf>
    <xf numFmtId="0" fontId="19" fillId="24" borderId="2" xfId="0" applyFont="1" applyFill="1" applyBorder="1" applyAlignment="1" applyProtection="1">
      <alignment horizontal="center" vertical="top"/>
      <protection hidden="1"/>
    </xf>
    <xf numFmtId="168" fontId="18" fillId="26" borderId="91" xfId="11" applyNumberFormat="1" applyFont="1" applyFill="1" applyBorder="1" applyAlignment="1" applyProtection="1">
      <alignment horizontal="center"/>
      <protection hidden="1"/>
    </xf>
    <xf numFmtId="168" fontId="18" fillId="26" borderId="42" xfId="11" applyNumberFormat="1" applyFont="1" applyFill="1" applyBorder="1" applyAlignment="1" applyProtection="1">
      <alignment horizontal="center"/>
      <protection hidden="1"/>
    </xf>
    <xf numFmtId="168" fontId="18" fillId="26" borderId="37" xfId="11" applyNumberFormat="1" applyFont="1" applyFill="1" applyBorder="1" applyAlignment="1" applyProtection="1">
      <alignment horizontal="center"/>
      <protection hidden="1"/>
    </xf>
    <xf numFmtId="168" fontId="18" fillId="25" borderId="91" xfId="11" applyNumberFormat="1" applyFont="1" applyFill="1" applyBorder="1" applyAlignment="1" applyProtection="1">
      <alignment horizontal="center"/>
      <protection hidden="1"/>
    </xf>
    <xf numFmtId="168" fontId="18" fillId="25" borderId="42" xfId="11" applyNumberFormat="1" applyFont="1" applyFill="1" applyBorder="1" applyAlignment="1" applyProtection="1">
      <alignment horizontal="center"/>
      <protection hidden="1"/>
    </xf>
    <xf numFmtId="168" fontId="18" fillId="25" borderId="37" xfId="11" applyNumberFormat="1" applyFont="1" applyFill="1" applyBorder="1" applyAlignment="1" applyProtection="1">
      <alignment horizontal="center"/>
      <protection hidden="1"/>
    </xf>
    <xf numFmtId="0" fontId="18" fillId="26" borderId="91" xfId="0" applyFont="1" applyFill="1" applyBorder="1" applyAlignment="1" applyProtection="1">
      <alignment horizontal="center"/>
      <protection hidden="1"/>
    </xf>
    <xf numFmtId="0" fontId="18" fillId="26" borderId="42" xfId="0" applyFont="1" applyFill="1" applyBorder="1" applyAlignment="1" applyProtection="1">
      <alignment horizontal="center"/>
      <protection hidden="1"/>
    </xf>
    <xf numFmtId="0" fontId="18" fillId="26" borderId="37" xfId="0" applyFont="1" applyFill="1" applyBorder="1" applyAlignment="1" applyProtection="1">
      <alignment horizontal="center"/>
      <protection hidden="1"/>
    </xf>
    <xf numFmtId="0" fontId="13" fillId="15" borderId="47" xfId="0" applyFont="1" applyFill="1" applyBorder="1" applyAlignment="1" applyProtection="1">
      <alignment horizontal="center" vertical="center" wrapText="1"/>
      <protection hidden="1"/>
    </xf>
    <xf numFmtId="0" fontId="13" fillId="18" borderId="36" xfId="0" applyFont="1" applyFill="1" applyBorder="1" applyAlignment="1" applyProtection="1">
      <alignment horizontal="center" vertical="center" wrapText="1"/>
      <protection hidden="1"/>
    </xf>
    <xf numFmtId="0" fontId="13" fillId="18" borderId="42" xfId="0" applyFont="1" applyFill="1" applyBorder="1" applyAlignment="1" applyProtection="1">
      <alignment horizontal="center" vertical="center" wrapText="1"/>
      <protection hidden="1"/>
    </xf>
    <xf numFmtId="0" fontId="13" fillId="18" borderId="37" xfId="0" applyFont="1" applyFill="1" applyBorder="1" applyAlignment="1" applyProtection="1">
      <alignment horizontal="center" vertical="center" wrapText="1"/>
      <protection hidden="1"/>
    </xf>
    <xf numFmtId="0" fontId="13" fillId="23" borderId="36" xfId="0" applyFont="1" applyFill="1" applyBorder="1" applyAlignment="1" applyProtection="1">
      <alignment horizontal="center" vertical="center" wrapText="1"/>
      <protection hidden="1"/>
    </xf>
    <xf numFmtId="0" fontId="13" fillId="23" borderId="37" xfId="0" applyFont="1" applyFill="1" applyBorder="1" applyAlignment="1" applyProtection="1">
      <alignment horizontal="center" vertical="center" wrapText="1"/>
      <protection hidden="1"/>
    </xf>
    <xf numFmtId="165" fontId="16" fillId="18" borderId="71" xfId="0" applyNumberFormat="1" applyFont="1" applyFill="1" applyBorder="1" applyAlignment="1" applyProtection="1">
      <alignment horizontal="center" vertical="center" wrapText="1"/>
      <protection hidden="1"/>
    </xf>
    <xf numFmtId="165" fontId="16" fillId="18" borderId="70" xfId="0" applyNumberFormat="1" applyFont="1" applyFill="1" applyBorder="1" applyAlignment="1" applyProtection="1">
      <alignment horizontal="center" vertical="center" wrapText="1"/>
      <protection hidden="1"/>
    </xf>
    <xf numFmtId="165" fontId="16" fillId="23" borderId="69" xfId="0" applyNumberFormat="1" applyFont="1" applyFill="1" applyBorder="1" applyAlignment="1" applyProtection="1">
      <alignment horizontal="center" vertical="center" wrapText="1"/>
      <protection hidden="1"/>
    </xf>
    <xf numFmtId="165" fontId="16" fillId="23" borderId="70" xfId="0" applyNumberFormat="1" applyFont="1" applyFill="1" applyBorder="1" applyAlignment="1" applyProtection="1">
      <alignment horizontal="center" vertical="center" wrapText="1"/>
      <protection hidden="1"/>
    </xf>
    <xf numFmtId="165" fontId="16" fillId="24" borderId="69" xfId="0" applyNumberFormat="1" applyFont="1" applyFill="1" applyBorder="1" applyAlignment="1" applyProtection="1">
      <alignment horizontal="center" vertical="center" wrapText="1"/>
      <protection hidden="1"/>
    </xf>
    <xf numFmtId="165" fontId="16" fillId="24" borderId="70" xfId="0" applyNumberFormat="1" applyFont="1" applyFill="1" applyBorder="1" applyAlignment="1" applyProtection="1">
      <alignment horizontal="center" vertical="center" wrapText="1"/>
      <protection hidden="1"/>
    </xf>
    <xf numFmtId="0" fontId="15" fillId="15" borderId="4" xfId="0" applyFont="1" applyFill="1" applyBorder="1" applyAlignment="1" applyProtection="1">
      <alignment horizontal="center"/>
      <protection hidden="1"/>
    </xf>
    <xf numFmtId="0" fontId="15" fillId="15" borderId="17" xfId="0" applyFont="1" applyFill="1" applyBorder="1" applyAlignment="1" applyProtection="1">
      <alignment horizontal="center"/>
      <protection hidden="1"/>
    </xf>
    <xf numFmtId="0" fontId="13" fillId="15" borderId="51" xfId="0" applyFont="1" applyFill="1" applyBorder="1" applyAlignment="1" applyProtection="1">
      <alignment horizontal="center" vertical="center"/>
      <protection hidden="1"/>
    </xf>
    <xf numFmtId="0" fontId="13" fillId="15" borderId="97" xfId="0" applyFont="1" applyFill="1" applyBorder="1" applyAlignment="1" applyProtection="1">
      <alignment horizontal="center" vertical="center"/>
      <protection hidden="1"/>
    </xf>
    <xf numFmtId="0" fontId="13" fillId="18" borderId="2" xfId="0" applyFont="1" applyFill="1" applyBorder="1" applyAlignment="1" applyProtection="1">
      <alignment horizontal="center" vertical="top" wrapText="1"/>
      <protection hidden="1"/>
    </xf>
    <xf numFmtId="0" fontId="13" fillId="23" borderId="2" xfId="0" applyFont="1" applyFill="1" applyBorder="1" applyAlignment="1" applyProtection="1">
      <alignment horizontal="center" vertical="top" wrapText="1"/>
      <protection hidden="1"/>
    </xf>
    <xf numFmtId="0" fontId="13" fillId="24" borderId="2" xfId="0" applyFont="1" applyFill="1" applyBorder="1" applyAlignment="1" applyProtection="1">
      <alignment horizontal="center" vertical="top" wrapText="1"/>
      <protection hidden="1"/>
    </xf>
    <xf numFmtId="165" fontId="13" fillId="18" borderId="79" xfId="0" applyNumberFormat="1" applyFont="1" applyFill="1" applyBorder="1" applyAlignment="1" applyProtection="1">
      <alignment horizontal="center" vertical="center" wrapText="1"/>
      <protection hidden="1"/>
    </xf>
    <xf numFmtId="165" fontId="13" fillId="18" borderId="80" xfId="0" applyNumberFormat="1" applyFont="1" applyFill="1" applyBorder="1" applyAlignment="1" applyProtection="1">
      <alignment horizontal="center" vertical="center" wrapText="1"/>
      <protection hidden="1"/>
    </xf>
    <xf numFmtId="0" fontId="13" fillId="24" borderId="79" xfId="0" applyFont="1" applyFill="1" applyBorder="1" applyAlignment="1" applyProtection="1">
      <alignment horizontal="center" vertical="center" wrapText="1"/>
      <protection hidden="1"/>
    </xf>
    <xf numFmtId="0" fontId="13" fillId="24" borderId="70" xfId="0" applyFont="1" applyFill="1" applyBorder="1" applyAlignment="1" applyProtection="1">
      <alignment horizontal="center" vertical="center" wrapText="1"/>
      <protection hidden="1"/>
    </xf>
    <xf numFmtId="165" fontId="13" fillId="23" borderId="79" xfId="0" applyNumberFormat="1" applyFont="1" applyFill="1" applyBorder="1" applyAlignment="1" applyProtection="1">
      <alignment horizontal="center" vertical="center" wrapText="1"/>
      <protection hidden="1"/>
    </xf>
    <xf numFmtId="165" fontId="13" fillId="23" borderId="80" xfId="0" applyNumberFormat="1" applyFont="1" applyFill="1" applyBorder="1" applyAlignment="1" applyProtection="1">
      <alignment horizontal="center" vertical="center" wrapText="1"/>
      <protection hidden="1"/>
    </xf>
    <xf numFmtId="0" fontId="13" fillId="18" borderId="46" xfId="0" applyFont="1" applyFill="1" applyBorder="1" applyAlignment="1" applyProtection="1">
      <alignment horizontal="center" vertical="center" wrapText="1"/>
      <protection hidden="1"/>
    </xf>
    <xf numFmtId="0" fontId="13" fillId="18" borderId="47" xfId="0" applyFont="1" applyFill="1" applyBorder="1" applyAlignment="1" applyProtection="1">
      <alignment horizontal="center" vertical="center" wrapText="1"/>
      <protection hidden="1"/>
    </xf>
    <xf numFmtId="0" fontId="13" fillId="23" borderId="46" xfId="0" applyFont="1" applyFill="1" applyBorder="1" applyAlignment="1" applyProtection="1">
      <alignment horizontal="center" vertical="center" wrapText="1"/>
      <protection hidden="1"/>
    </xf>
    <xf numFmtId="0" fontId="13" fillId="23" borderId="47" xfId="0" applyFont="1" applyFill="1" applyBorder="1" applyAlignment="1" applyProtection="1">
      <alignment horizontal="center" vertical="center" wrapText="1"/>
      <protection hidden="1"/>
    </xf>
    <xf numFmtId="0" fontId="9" fillId="15" borderId="91" xfId="0" applyFont="1" applyFill="1" applyBorder="1" applyAlignment="1" applyProtection="1">
      <alignment horizontal="center" wrapText="1"/>
      <protection hidden="1"/>
    </xf>
    <xf numFmtId="0" fontId="9" fillId="15" borderId="37" xfId="0" applyFont="1" applyFill="1" applyBorder="1" applyAlignment="1" applyProtection="1">
      <alignment horizontal="center" wrapText="1"/>
      <protection hidden="1"/>
    </xf>
    <xf numFmtId="0" fontId="37" fillId="14" borderId="51" xfId="6" applyFont="1" applyFill="1" applyBorder="1" applyAlignment="1">
      <alignment horizontal="center" vertical="center"/>
    </xf>
    <xf numFmtId="0" fontId="37" fillId="14" borderId="55" xfId="6" applyFont="1" applyFill="1" applyBorder="1" applyAlignment="1">
      <alignment horizontal="center" vertical="center"/>
    </xf>
    <xf numFmtId="0" fontId="37" fillId="14" borderId="52" xfId="6" applyFont="1" applyFill="1" applyBorder="1" applyAlignment="1">
      <alignment horizontal="center" vertical="center"/>
    </xf>
    <xf numFmtId="0" fontId="37" fillId="14" borderId="53" xfId="6" applyFont="1" applyFill="1" applyBorder="1" applyAlignment="1">
      <alignment horizontal="center" vertical="center"/>
    </xf>
    <xf numFmtId="0" fontId="37" fillId="14" borderId="54" xfId="6" applyFont="1" applyFill="1" applyBorder="1" applyAlignment="1">
      <alignment horizontal="center" vertical="center"/>
    </xf>
    <xf numFmtId="0" fontId="37" fillId="14" borderId="48" xfId="6" applyFont="1" applyFill="1" applyBorder="1" applyAlignment="1">
      <alignment horizontal="center" vertical="center"/>
    </xf>
    <xf numFmtId="0" fontId="9" fillId="15" borderId="51" xfId="0" applyFont="1" applyFill="1" applyBorder="1" applyAlignment="1" applyProtection="1">
      <alignment horizontal="center" wrapText="1"/>
      <protection hidden="1"/>
    </xf>
    <xf numFmtId="0" fontId="9" fillId="15" borderId="52" xfId="0" applyFont="1" applyFill="1" applyBorder="1" applyAlignment="1" applyProtection="1">
      <alignment horizontal="center" wrapText="1"/>
      <protection hidden="1"/>
    </xf>
    <xf numFmtId="0" fontId="9" fillId="15" borderId="36" xfId="0" applyFont="1" applyFill="1" applyBorder="1" applyAlignment="1" applyProtection="1">
      <alignment horizontal="center" wrapText="1"/>
      <protection hidden="1"/>
    </xf>
    <xf numFmtId="0" fontId="13" fillId="9" borderId="87" xfId="0" applyFont="1" applyFill="1" applyBorder="1" applyAlignment="1" applyProtection="1">
      <alignment horizontal="center" vertical="center" wrapText="1"/>
      <protection hidden="1"/>
    </xf>
    <xf numFmtId="0" fontId="13" fillId="9" borderId="83" xfId="0" applyFont="1" applyFill="1" applyBorder="1" applyAlignment="1" applyProtection="1">
      <alignment horizontal="center" vertical="center" wrapText="1"/>
      <protection hidden="1"/>
    </xf>
    <xf numFmtId="0" fontId="13" fillId="23" borderId="55" xfId="0" applyFont="1" applyFill="1" applyBorder="1" applyAlignment="1" applyProtection="1">
      <alignment horizontal="center" vertical="center" wrapText="1"/>
      <protection hidden="1"/>
    </xf>
    <xf numFmtId="0" fontId="13" fillId="23" borderId="54" xfId="0" applyFont="1" applyFill="1" applyBorder="1" applyAlignment="1" applyProtection="1">
      <alignment horizontal="center" vertical="center" wrapText="1"/>
      <protection hidden="1"/>
    </xf>
    <xf numFmtId="0" fontId="13" fillId="23" borderId="48" xfId="0" applyFont="1" applyFill="1" applyBorder="1" applyAlignment="1" applyProtection="1">
      <alignment horizontal="center" vertical="center" wrapText="1"/>
      <protection hidden="1"/>
    </xf>
    <xf numFmtId="0" fontId="36" fillId="15" borderId="46" xfId="6" applyFill="1" applyBorder="1" applyAlignment="1">
      <alignment horizontal="center" vertical="center"/>
    </xf>
    <xf numFmtId="0" fontId="36" fillId="15" borderId="47" xfId="6" applyFill="1" applyBorder="1" applyAlignment="1">
      <alignment horizontal="center" vertical="center"/>
    </xf>
    <xf numFmtId="0" fontId="37" fillId="14" borderId="46" xfId="6" applyFont="1" applyFill="1" applyBorder="1" applyAlignment="1">
      <alignment horizontal="center" vertical="center"/>
    </xf>
    <xf numFmtId="0" fontId="37" fillId="14" borderId="47" xfId="6" applyFont="1" applyFill="1" applyBorder="1" applyAlignment="1">
      <alignment horizontal="center" vertical="center"/>
    </xf>
    <xf numFmtId="1" fontId="0" fillId="9" borderId="54" xfId="0" applyNumberFormat="1" applyFill="1" applyBorder="1" applyAlignment="1" applyProtection="1">
      <alignment horizontal="center" vertical="center"/>
      <protection hidden="1"/>
    </xf>
    <xf numFmtId="1" fontId="0" fillId="9" borderId="48" xfId="0" applyNumberFormat="1" applyFill="1" applyBorder="1" applyAlignment="1" applyProtection="1">
      <alignment horizontal="center" vertical="center"/>
      <protection hidden="1"/>
    </xf>
    <xf numFmtId="0" fontId="13" fillId="24" borderId="51" xfId="0" applyFont="1" applyFill="1" applyBorder="1" applyAlignment="1" applyProtection="1">
      <alignment horizontal="center" vertical="center" wrapText="1"/>
      <protection hidden="1"/>
    </xf>
    <xf numFmtId="0" fontId="13" fillId="24" borderId="55" xfId="0" applyFont="1" applyFill="1" applyBorder="1" applyAlignment="1" applyProtection="1">
      <alignment horizontal="center" vertical="center" wrapText="1"/>
      <protection hidden="1"/>
    </xf>
    <xf numFmtId="0" fontId="13" fillId="24" borderId="52" xfId="0" applyFont="1" applyFill="1" applyBorder="1" applyAlignment="1" applyProtection="1">
      <alignment horizontal="center" vertical="center" wrapText="1"/>
      <protection hidden="1"/>
    </xf>
    <xf numFmtId="0" fontId="13" fillId="24" borderId="53" xfId="0" applyFont="1" applyFill="1" applyBorder="1" applyAlignment="1" applyProtection="1">
      <alignment horizontal="center" vertical="center" wrapText="1"/>
      <protection hidden="1"/>
    </xf>
    <xf numFmtId="0" fontId="13" fillId="24" borderId="54" xfId="0" applyFont="1" applyFill="1" applyBorder="1" applyAlignment="1" applyProtection="1">
      <alignment horizontal="center" vertical="center" wrapText="1"/>
      <protection hidden="1"/>
    </xf>
    <xf numFmtId="0" fontId="13" fillId="24" borderId="48" xfId="0" applyFont="1" applyFill="1" applyBorder="1" applyAlignment="1" applyProtection="1">
      <alignment horizontal="center" vertical="center" wrapText="1"/>
      <protection hidden="1"/>
    </xf>
    <xf numFmtId="0" fontId="13" fillId="18" borderId="75" xfId="0" applyFont="1" applyFill="1" applyBorder="1" applyAlignment="1" applyProtection="1">
      <alignment horizontal="center" vertical="center" wrapText="1"/>
      <protection hidden="1"/>
    </xf>
    <xf numFmtId="0" fontId="13" fillId="18" borderId="43" xfId="0" applyFont="1" applyFill="1" applyBorder="1" applyAlignment="1" applyProtection="1">
      <alignment horizontal="center" vertical="center" wrapText="1"/>
      <protection hidden="1"/>
    </xf>
    <xf numFmtId="1" fontId="0" fillId="9" borderId="55" xfId="0" applyNumberFormat="1" applyFill="1" applyBorder="1" applyAlignment="1" applyProtection="1">
      <alignment horizontal="center" vertical="center"/>
      <protection hidden="1"/>
    </xf>
    <xf numFmtId="1" fontId="0" fillId="9" borderId="52" xfId="0" applyNumberFormat="1" applyFill="1" applyBorder="1" applyAlignment="1" applyProtection="1">
      <alignment horizontal="center" vertical="center"/>
      <protection hidden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165" fontId="16" fillId="3" borderId="6" xfId="0" applyNumberFormat="1" applyFont="1" applyFill="1" applyBorder="1" applyAlignment="1">
      <alignment horizontal="center" vertical="center" wrapText="1"/>
    </xf>
    <xf numFmtId="165" fontId="16" fillId="3" borderId="7" xfId="0" applyNumberFormat="1" applyFont="1" applyFill="1" applyBorder="1" applyAlignment="1">
      <alignment horizontal="center" vertical="center" wrapText="1"/>
    </xf>
    <xf numFmtId="165" fontId="13" fillId="3" borderId="4" xfId="0" applyNumberFormat="1" applyFont="1" applyFill="1" applyBorder="1" applyAlignment="1">
      <alignment horizontal="center" vertical="center" wrapText="1"/>
    </xf>
    <xf numFmtId="165" fontId="13" fillId="3" borderId="13" xfId="0" applyNumberFormat="1" applyFont="1" applyFill="1" applyBorder="1" applyAlignment="1">
      <alignment horizontal="center" vertical="center" wrapText="1"/>
    </xf>
    <xf numFmtId="165" fontId="13" fillId="7" borderId="4" xfId="0" applyNumberFormat="1" applyFont="1" applyFill="1" applyBorder="1" applyAlignment="1">
      <alignment horizontal="center" vertical="center" wrapText="1"/>
    </xf>
    <xf numFmtId="165" fontId="13" fillId="7" borderId="13" xfId="0" applyNumberFormat="1" applyFont="1" applyFill="1" applyBorder="1" applyAlignment="1">
      <alignment horizontal="center" vertical="center" wrapText="1"/>
    </xf>
    <xf numFmtId="0" fontId="13" fillId="8" borderId="13" xfId="0" applyFont="1" applyFill="1" applyBorder="1" applyAlignment="1">
      <alignment horizontal="center" vertical="center" wrapText="1"/>
    </xf>
    <xf numFmtId="0" fontId="13" fillId="14" borderId="36" xfId="6" applyFont="1" applyFill="1" applyBorder="1" applyAlignment="1">
      <alignment horizontal="center" vertical="center"/>
    </xf>
    <xf numFmtId="0" fontId="13" fillId="14" borderId="37" xfId="6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165" fontId="13" fillId="18" borderId="36" xfId="0" applyNumberFormat="1" applyFont="1" applyFill="1" applyBorder="1" applyAlignment="1" applyProtection="1">
      <alignment horizontal="center" vertical="center" wrapText="1"/>
      <protection hidden="1"/>
    </xf>
    <xf numFmtId="165" fontId="13" fillId="18" borderId="42" xfId="0" applyNumberFormat="1" applyFont="1" applyFill="1" applyBorder="1" applyAlignment="1" applyProtection="1">
      <alignment horizontal="center" vertical="center" wrapText="1"/>
      <protection hidden="1"/>
    </xf>
    <xf numFmtId="165" fontId="13" fillId="18" borderId="37" xfId="0" applyNumberFormat="1" applyFont="1" applyFill="1" applyBorder="1" applyAlignment="1" applyProtection="1">
      <alignment horizontal="center" vertical="center" wrapText="1"/>
      <protection hidden="1"/>
    </xf>
    <xf numFmtId="165" fontId="13" fillId="23" borderId="36" xfId="0" applyNumberFormat="1" applyFont="1" applyFill="1" applyBorder="1" applyAlignment="1" applyProtection="1">
      <alignment horizontal="center" vertical="center" wrapText="1"/>
      <protection hidden="1"/>
    </xf>
    <xf numFmtId="165" fontId="13" fillId="23" borderId="42" xfId="0" applyNumberFormat="1" applyFont="1" applyFill="1" applyBorder="1" applyAlignment="1" applyProtection="1">
      <alignment horizontal="center" vertical="center" wrapText="1"/>
      <protection hidden="1"/>
    </xf>
    <xf numFmtId="165" fontId="13" fillId="23" borderId="37" xfId="0" applyNumberFormat="1" applyFont="1" applyFill="1" applyBorder="1" applyAlignment="1" applyProtection="1">
      <alignment horizontal="center" vertical="center" wrapText="1"/>
      <protection hidden="1"/>
    </xf>
    <xf numFmtId="165" fontId="13" fillId="24" borderId="39" xfId="0" applyNumberFormat="1" applyFont="1" applyFill="1" applyBorder="1" applyAlignment="1" applyProtection="1">
      <alignment horizontal="center" vertical="center" wrapText="1"/>
      <protection hidden="1"/>
    </xf>
    <xf numFmtId="165" fontId="13" fillId="24" borderId="40" xfId="0" applyNumberFormat="1" applyFont="1" applyFill="1" applyBorder="1" applyAlignment="1" applyProtection="1">
      <alignment horizontal="center" vertical="center" wrapText="1"/>
      <protection hidden="1"/>
    </xf>
    <xf numFmtId="165" fontId="13" fillId="24" borderId="41" xfId="0" applyNumberFormat="1" applyFont="1" applyFill="1" applyBorder="1" applyAlignment="1" applyProtection="1">
      <alignment horizontal="center" vertical="center" wrapText="1"/>
      <protection hidden="1"/>
    </xf>
    <xf numFmtId="0" fontId="43" fillId="10" borderId="36" xfId="5" applyFont="1" applyFill="1" applyBorder="1" applyAlignment="1" applyProtection="1">
      <alignment horizontal="center"/>
      <protection hidden="1"/>
    </xf>
    <xf numFmtId="0" fontId="43" fillId="10" borderId="42" xfId="5" applyFont="1" applyFill="1" applyBorder="1" applyAlignment="1" applyProtection="1">
      <alignment horizontal="center"/>
      <protection hidden="1"/>
    </xf>
    <xf numFmtId="0" fontId="43" fillId="10" borderId="37" xfId="5" applyFont="1" applyFill="1" applyBorder="1" applyAlignment="1" applyProtection="1">
      <alignment horizontal="center"/>
      <protection hidden="1"/>
    </xf>
    <xf numFmtId="0" fontId="13" fillId="7" borderId="36" xfId="6" applyFont="1" applyFill="1" applyBorder="1" applyAlignment="1">
      <alignment horizontal="center" vertical="center"/>
    </xf>
    <xf numFmtId="0" fontId="13" fillId="7" borderId="37" xfId="6" applyFont="1" applyFill="1" applyBorder="1" applyAlignment="1">
      <alignment horizontal="center" vertical="center"/>
    </xf>
    <xf numFmtId="0" fontId="24" fillId="21" borderId="36" xfId="1" applyFont="1" applyFill="1" applyBorder="1" applyAlignment="1">
      <alignment horizontal="center" vertical="center" wrapText="1"/>
    </xf>
    <xf numFmtId="0" fontId="24" fillId="21" borderId="42" xfId="1" applyFont="1" applyFill="1" applyBorder="1" applyAlignment="1">
      <alignment horizontal="center" vertical="center" wrapText="1"/>
    </xf>
    <xf numFmtId="0" fontId="24" fillId="21" borderId="44" xfId="1" applyFont="1" applyFill="1" applyBorder="1" applyAlignment="1">
      <alignment horizontal="center" vertical="center" wrapText="1"/>
    </xf>
    <xf numFmtId="0" fontId="36" fillId="15" borderId="36" xfId="6" applyFill="1" applyBorder="1" applyAlignment="1">
      <alignment horizontal="center" vertical="center"/>
    </xf>
    <xf numFmtId="0" fontId="36" fillId="15" borderId="37" xfId="6" applyFill="1" applyBorder="1" applyAlignment="1">
      <alignment horizontal="center" vertical="center"/>
    </xf>
    <xf numFmtId="0" fontId="28" fillId="0" borderId="87" xfId="1" applyFont="1" applyFill="1" applyBorder="1" applyAlignment="1">
      <alignment horizontal="center" vertical="center" wrapText="1"/>
    </xf>
    <xf numFmtId="0" fontId="28" fillId="0" borderId="56" xfId="1" applyFont="1" applyFill="1" applyBorder="1" applyAlignment="1">
      <alignment horizontal="center" vertical="center" wrapText="1"/>
    </xf>
    <xf numFmtId="0" fontId="28" fillId="0" borderId="81" xfId="1" applyFont="1" applyFill="1" applyBorder="1" applyAlignment="1">
      <alignment horizontal="center" vertical="center" wrapText="1"/>
    </xf>
    <xf numFmtId="0" fontId="28" fillId="0" borderId="12" xfId="1" applyFont="1" applyFill="1" applyBorder="1" applyAlignment="1">
      <alignment horizontal="center" vertical="center" wrapText="1"/>
    </xf>
    <xf numFmtId="0" fontId="28" fillId="0" borderId="61" xfId="1" applyFont="1" applyFill="1" applyBorder="1" applyAlignment="1">
      <alignment horizontal="center" vertical="center" wrapText="1"/>
    </xf>
    <xf numFmtId="0" fontId="28" fillId="0" borderId="83" xfId="1" applyFont="1" applyFill="1" applyBorder="1" applyAlignment="1">
      <alignment horizontal="center" vertical="center" wrapText="1"/>
    </xf>
    <xf numFmtId="0" fontId="28" fillId="0" borderId="9" xfId="1" applyFont="1" applyFill="1" applyBorder="1" applyAlignment="1">
      <alignment horizontal="center" vertical="center" wrapText="1"/>
    </xf>
    <xf numFmtId="0" fontId="28" fillId="0" borderId="77" xfId="1" applyFont="1" applyFill="1" applyBorder="1" applyAlignment="1">
      <alignment horizontal="center" vertical="center" wrapText="1"/>
    </xf>
    <xf numFmtId="0" fontId="28" fillId="0" borderId="68" xfId="1" applyFont="1" applyFill="1" applyBorder="1" applyAlignment="1">
      <alignment horizontal="center" vertical="center" wrapText="1"/>
    </xf>
    <xf numFmtId="0" fontId="28" fillId="0" borderId="11" xfId="1" applyFont="1" applyFill="1" applyBorder="1" applyAlignment="1">
      <alignment horizontal="center" vertical="center" wrapText="1"/>
    </xf>
    <xf numFmtId="0" fontId="24" fillId="21" borderId="51" xfId="1" applyFont="1" applyFill="1" applyBorder="1" applyAlignment="1">
      <alignment horizontal="center" vertical="center" wrapText="1"/>
    </xf>
    <xf numFmtId="0" fontId="24" fillId="21" borderId="55" xfId="1" applyFont="1" applyFill="1" applyBorder="1" applyAlignment="1">
      <alignment horizontal="center" vertical="center" wrapText="1"/>
    </xf>
    <xf numFmtId="0" fontId="24" fillId="21" borderId="52" xfId="1" applyFont="1" applyFill="1" applyBorder="1" applyAlignment="1">
      <alignment horizontal="center" vertical="center" wrapText="1"/>
    </xf>
    <xf numFmtId="0" fontId="24" fillId="21" borderId="53" xfId="1" applyFont="1" applyFill="1" applyBorder="1" applyAlignment="1">
      <alignment horizontal="center" vertical="center" wrapText="1"/>
    </xf>
    <xf numFmtId="0" fontId="24" fillId="21" borderId="54" xfId="1" applyFont="1" applyFill="1" applyBorder="1" applyAlignment="1">
      <alignment horizontal="center" vertical="center" wrapText="1"/>
    </xf>
    <xf numFmtId="0" fontId="24" fillId="21" borderId="49" xfId="1" applyFont="1" applyFill="1" applyBorder="1" applyAlignment="1">
      <alignment horizontal="center" vertical="center" wrapText="1"/>
    </xf>
    <xf numFmtId="0" fontId="36" fillId="15" borderId="51" xfId="6" applyFill="1" applyBorder="1" applyAlignment="1">
      <alignment horizontal="center" vertical="center"/>
    </xf>
    <xf numFmtId="0" fontId="36" fillId="15" borderId="52" xfId="6" applyFill="1" applyBorder="1" applyAlignment="1">
      <alignment horizontal="center" vertical="center"/>
    </xf>
    <xf numFmtId="0" fontId="13" fillId="7" borderId="51" xfId="6" applyFont="1" applyFill="1" applyBorder="1" applyAlignment="1">
      <alignment horizontal="center" vertical="center"/>
    </xf>
    <xf numFmtId="0" fontId="13" fillId="7" borderId="52" xfId="6" applyFont="1" applyFill="1" applyBorder="1" applyAlignment="1">
      <alignment horizontal="center" vertical="center"/>
    </xf>
    <xf numFmtId="0" fontId="36" fillId="15" borderId="53" xfId="6" applyFill="1" applyBorder="1" applyAlignment="1">
      <alignment horizontal="center" vertical="center"/>
    </xf>
    <xf numFmtId="0" fontId="36" fillId="15" borderId="48" xfId="6" applyFill="1" applyBorder="1" applyAlignment="1">
      <alignment horizontal="center" vertical="center"/>
    </xf>
    <xf numFmtId="0" fontId="13" fillId="7" borderId="53" xfId="6" applyFont="1" applyFill="1" applyBorder="1" applyAlignment="1">
      <alignment horizontal="center" vertical="center"/>
    </xf>
    <xf numFmtId="0" fontId="13" fillId="7" borderId="48" xfId="6" applyFont="1" applyFill="1" applyBorder="1" applyAlignment="1">
      <alignment horizontal="center" vertical="center"/>
    </xf>
    <xf numFmtId="0" fontId="29" fillId="0" borderId="58" xfId="1" applyFont="1" applyFill="1" applyBorder="1" applyAlignment="1">
      <alignment horizontal="center" vertical="center" wrapText="1"/>
    </xf>
    <xf numFmtId="0" fontId="29" fillId="0" borderId="43" xfId="1" applyFont="1" applyFill="1" applyBorder="1" applyAlignment="1">
      <alignment horizontal="center" vertical="center" wrapText="1"/>
    </xf>
    <xf numFmtId="0" fontId="29" fillId="0" borderId="59" xfId="1" applyFont="1" applyFill="1" applyBorder="1" applyAlignment="1">
      <alignment horizontal="center" vertical="center" wrapText="1"/>
    </xf>
    <xf numFmtId="0" fontId="24" fillId="21" borderId="37" xfId="1" applyFont="1" applyFill="1" applyBorder="1" applyAlignment="1">
      <alignment horizontal="center" vertical="center" wrapText="1"/>
    </xf>
    <xf numFmtId="0" fontId="24" fillId="21" borderId="46" xfId="1" applyFont="1" applyFill="1" applyBorder="1" applyAlignment="1">
      <alignment horizontal="center" vertical="center" wrapText="1"/>
    </xf>
    <xf numFmtId="0" fontId="24" fillId="21" borderId="47" xfId="1" applyFont="1" applyFill="1" applyBorder="1" applyAlignment="1">
      <alignment horizontal="center" vertical="center" wrapText="1"/>
    </xf>
    <xf numFmtId="0" fontId="29" fillId="0" borderId="83" xfId="1" applyFont="1" applyFill="1" applyBorder="1" applyAlignment="1">
      <alignment horizontal="center" vertical="center" wrapText="1"/>
    </xf>
    <xf numFmtId="0" fontId="29" fillId="0" borderId="77" xfId="1" applyFont="1" applyFill="1" applyBorder="1" applyAlignment="1">
      <alignment horizontal="center" vertical="center" wrapText="1"/>
    </xf>
    <xf numFmtId="0" fontId="29" fillId="0" borderId="78" xfId="1" applyFont="1" applyFill="1" applyBorder="1" applyAlignment="1">
      <alignment horizontal="center" vertical="center" wrapText="1"/>
    </xf>
    <xf numFmtId="0" fontId="29" fillId="0" borderId="93" xfId="1" applyFont="1" applyFill="1" applyBorder="1" applyAlignment="1">
      <alignment horizontal="center" vertical="center" wrapText="1"/>
    </xf>
    <xf numFmtId="0" fontId="29" fillId="0" borderId="94" xfId="1" applyFont="1" applyFill="1" applyBorder="1" applyAlignment="1">
      <alignment horizontal="center" vertical="center" wrapText="1"/>
    </xf>
    <xf numFmtId="0" fontId="29" fillId="0" borderId="88" xfId="1" applyFont="1" applyFill="1" applyBorder="1" applyAlignment="1">
      <alignment horizontal="center" vertical="center" wrapText="1"/>
    </xf>
    <xf numFmtId="0" fontId="24" fillId="21" borderId="10" xfId="1" applyFont="1" applyFill="1" applyBorder="1" applyAlignment="1">
      <alignment horizontal="center" vertical="center" wrapText="1"/>
    </xf>
    <xf numFmtId="0" fontId="24" fillId="21" borderId="7" xfId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/>
    </xf>
    <xf numFmtId="0" fontId="15" fillId="3" borderId="13" xfId="0" applyFont="1" applyFill="1" applyBorder="1" applyAlignment="1">
      <alignment horizontal="left"/>
    </xf>
    <xf numFmtId="1" fontId="22" fillId="6" borderId="0" xfId="0" applyNumberFormat="1" applyFont="1" applyFill="1" applyBorder="1" applyAlignment="1">
      <alignment horizontal="center" wrapText="1"/>
    </xf>
    <xf numFmtId="0" fontId="13" fillId="13" borderId="0" xfId="0" applyFont="1" applyFill="1" applyAlignment="1" applyProtection="1">
      <alignment horizontal="center" vertical="center"/>
      <protection hidden="1"/>
    </xf>
    <xf numFmtId="4" fontId="24" fillId="10" borderId="21" xfId="3" applyNumberFormat="1" applyFont="1" applyFill="1" applyBorder="1" applyAlignment="1" applyProtection="1">
      <alignment horizontal="center" vertical="center"/>
      <protection hidden="1"/>
    </xf>
    <xf numFmtId="4" fontId="24" fillId="10" borderId="26" xfId="3" applyNumberFormat="1" applyFont="1" applyFill="1" applyBorder="1" applyAlignment="1" applyProtection="1">
      <alignment horizontal="center" vertical="center"/>
      <protection hidden="1"/>
    </xf>
    <xf numFmtId="4" fontId="24" fillId="7" borderId="21" xfId="3" applyNumberFormat="1" applyFont="1" applyFill="1" applyBorder="1" applyAlignment="1" applyProtection="1">
      <alignment horizontal="center" vertical="center"/>
      <protection hidden="1"/>
    </xf>
    <xf numFmtId="4" fontId="24" fillId="7" borderId="26" xfId="3" applyNumberFormat="1" applyFont="1" applyFill="1" applyBorder="1" applyAlignment="1" applyProtection="1">
      <alignment horizontal="center" vertical="center"/>
      <protection hidden="1"/>
    </xf>
    <xf numFmtId="0" fontId="24" fillId="6" borderId="20" xfId="0" applyFont="1" applyFill="1" applyBorder="1" applyAlignment="1" applyProtection="1">
      <alignment horizontal="center" vertical="center"/>
      <protection hidden="1"/>
    </xf>
    <xf numFmtId="0" fontId="24" fillId="6" borderId="25" xfId="0" applyFont="1" applyFill="1" applyBorder="1" applyAlignment="1" applyProtection="1">
      <alignment horizontal="center" vertical="center"/>
      <protection hidden="1"/>
    </xf>
    <xf numFmtId="0" fontId="24" fillId="6" borderId="19" xfId="0" applyFont="1" applyFill="1" applyBorder="1" applyAlignment="1" applyProtection="1">
      <alignment horizontal="center" vertical="center" wrapText="1"/>
      <protection hidden="1"/>
    </xf>
    <xf numFmtId="0" fontId="24" fillId="6" borderId="24" xfId="0" applyFont="1" applyFill="1" applyBorder="1" applyAlignment="1" applyProtection="1">
      <alignment horizontal="center" vertical="center" wrapText="1"/>
      <protection hidden="1"/>
    </xf>
    <xf numFmtId="0" fontId="24" fillId="6" borderId="21" xfId="0" applyFont="1" applyFill="1" applyBorder="1" applyAlignment="1" applyProtection="1">
      <alignment horizontal="center" vertical="center" wrapText="1"/>
      <protection hidden="1"/>
    </xf>
    <xf numFmtId="0" fontId="24" fillId="6" borderId="26" xfId="0" applyFont="1" applyFill="1" applyBorder="1" applyAlignment="1" applyProtection="1">
      <alignment horizontal="center" vertical="center" wrapText="1"/>
      <protection hidden="1"/>
    </xf>
    <xf numFmtId="166" fontId="24" fillId="6" borderId="21" xfId="0" applyNumberFormat="1" applyFont="1" applyFill="1" applyBorder="1" applyAlignment="1" applyProtection="1">
      <alignment horizontal="center" vertical="center" wrapText="1"/>
      <protection hidden="1"/>
    </xf>
    <xf numFmtId="166" fontId="24" fillId="6" borderId="26" xfId="0" applyNumberFormat="1" applyFont="1" applyFill="1" applyBorder="1" applyAlignment="1" applyProtection="1">
      <alignment horizontal="center" vertical="center" wrapText="1"/>
      <protection hidden="1"/>
    </xf>
    <xf numFmtId="0" fontId="24" fillId="6" borderId="20" xfId="0" applyFont="1" applyFill="1" applyBorder="1" applyAlignment="1">
      <alignment horizontal="center" vertical="center"/>
    </xf>
    <xf numFmtId="0" fontId="24" fillId="6" borderId="25" xfId="0" applyFont="1" applyFill="1" applyBorder="1" applyAlignment="1">
      <alignment horizontal="center" vertical="center"/>
    </xf>
    <xf numFmtId="0" fontId="24" fillId="6" borderId="19" xfId="0" applyFont="1" applyFill="1" applyBorder="1" applyAlignment="1">
      <alignment horizontal="center" vertical="center" wrapText="1"/>
    </xf>
    <xf numFmtId="0" fontId="24" fillId="6" borderId="24" xfId="0" applyFont="1" applyFill="1" applyBorder="1" applyAlignment="1">
      <alignment horizontal="center" vertical="center" wrapText="1"/>
    </xf>
    <xf numFmtId="0" fontId="24" fillId="6" borderId="21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horizontal="center" vertical="center" wrapText="1"/>
    </xf>
    <xf numFmtId="166" fontId="24" fillId="6" borderId="21" xfId="0" applyNumberFormat="1" applyFont="1" applyFill="1" applyBorder="1" applyAlignment="1">
      <alignment horizontal="center" vertical="center" wrapText="1"/>
    </xf>
    <xf numFmtId="166" fontId="24" fillId="6" borderId="26" xfId="0" applyNumberFormat="1" applyFont="1" applyFill="1" applyBorder="1" applyAlignment="1">
      <alignment horizontal="center" vertical="center" wrapText="1"/>
    </xf>
    <xf numFmtId="4" fontId="24" fillId="7" borderId="14" xfId="3" applyNumberFormat="1" applyFont="1" applyFill="1" applyBorder="1" applyAlignment="1" applyProtection="1">
      <alignment horizontal="center" vertical="center"/>
      <protection hidden="1"/>
    </xf>
    <xf numFmtId="4" fontId="24" fillId="7" borderId="8" xfId="3" applyNumberFormat="1" applyFont="1" applyFill="1" applyBorder="1" applyAlignment="1" applyProtection="1">
      <alignment horizontal="center" vertical="center"/>
      <protection hidden="1"/>
    </xf>
    <xf numFmtId="0" fontId="24" fillId="6" borderId="23" xfId="3" applyFont="1" applyFill="1" applyBorder="1" applyAlignment="1" applyProtection="1">
      <alignment horizontal="center" vertical="center"/>
      <protection hidden="1"/>
    </xf>
    <xf numFmtId="0" fontId="24" fillId="6" borderId="28" xfId="3" applyFont="1" applyFill="1" applyBorder="1" applyAlignment="1" applyProtection="1">
      <alignment horizontal="center" vertical="center"/>
      <protection hidden="1"/>
    </xf>
    <xf numFmtId="0" fontId="24" fillId="6" borderId="31" xfId="3" applyFont="1" applyFill="1" applyBorder="1" applyAlignment="1" applyProtection="1">
      <alignment horizontal="center" vertical="center" wrapText="1"/>
      <protection hidden="1"/>
    </xf>
    <xf numFmtId="0" fontId="24" fillId="6" borderId="32" xfId="3" applyFont="1" applyFill="1" applyBorder="1" applyAlignment="1" applyProtection="1">
      <alignment horizontal="center" vertical="center" wrapText="1"/>
      <protection hidden="1"/>
    </xf>
    <xf numFmtId="0" fontId="24" fillId="6" borderId="22" xfId="4" applyFont="1" applyFill="1" applyBorder="1" applyAlignment="1" applyProtection="1">
      <alignment horizontal="center" vertical="center" wrapText="1"/>
      <protection hidden="1"/>
    </xf>
    <xf numFmtId="0" fontId="24" fillId="6" borderId="27" xfId="4" applyFont="1" applyFill="1" applyBorder="1" applyAlignment="1" applyProtection="1">
      <alignment horizontal="center" vertical="center" wrapText="1"/>
      <protection hidden="1"/>
    </xf>
    <xf numFmtId="0" fontId="24" fillId="6" borderId="29" xfId="3" applyFont="1" applyFill="1" applyBorder="1" applyAlignment="1" applyProtection="1">
      <alignment horizontal="center" vertical="center" wrapText="1"/>
      <protection hidden="1"/>
    </xf>
    <xf numFmtId="0" fontId="24" fillId="6" borderId="30" xfId="3" applyFont="1" applyFill="1" applyBorder="1" applyAlignment="1" applyProtection="1">
      <alignment horizontal="center" vertical="center" wrapText="1"/>
      <protection hidden="1"/>
    </xf>
    <xf numFmtId="4" fontId="24" fillId="3" borderId="14" xfId="3" applyNumberFormat="1" applyFont="1" applyFill="1" applyBorder="1" applyAlignment="1" applyProtection="1">
      <alignment horizontal="center" vertical="center"/>
      <protection hidden="1"/>
    </xf>
    <xf numFmtId="4" fontId="24" fillId="3" borderId="8" xfId="3" applyNumberFormat="1" applyFont="1" applyFill="1" applyBorder="1" applyAlignment="1" applyProtection="1">
      <alignment horizontal="center" vertical="center"/>
      <protection hidden="1"/>
    </xf>
    <xf numFmtId="0" fontId="13" fillId="3" borderId="2" xfId="0" applyFont="1" applyFill="1" applyBorder="1" applyAlignment="1">
      <alignment horizontal="left"/>
    </xf>
    <xf numFmtId="0" fontId="24" fillId="6" borderId="23" xfId="3" applyFont="1" applyFill="1" applyBorder="1" applyAlignment="1">
      <alignment horizontal="center" vertical="center"/>
    </xf>
    <xf numFmtId="0" fontId="24" fillId="6" borderId="28" xfId="3" applyFont="1" applyFill="1" applyBorder="1" applyAlignment="1">
      <alignment horizontal="center" vertical="center"/>
    </xf>
    <xf numFmtId="0" fontId="24" fillId="6" borderId="31" xfId="3" applyFont="1" applyFill="1" applyBorder="1" applyAlignment="1">
      <alignment horizontal="center" vertical="center" wrapText="1"/>
    </xf>
    <xf numFmtId="0" fontId="24" fillId="6" borderId="32" xfId="3" applyFont="1" applyFill="1" applyBorder="1" applyAlignment="1">
      <alignment horizontal="center" vertical="center" wrapText="1"/>
    </xf>
    <xf numFmtId="0" fontId="24" fillId="6" borderId="22" xfId="4" applyFont="1" applyFill="1" applyBorder="1" applyAlignment="1">
      <alignment horizontal="center" vertical="center" wrapText="1"/>
    </xf>
    <xf numFmtId="0" fontId="24" fillId="6" borderId="27" xfId="4" applyFont="1" applyFill="1" applyBorder="1" applyAlignment="1">
      <alignment horizontal="center" vertical="center" wrapText="1"/>
    </xf>
    <xf numFmtId="0" fontId="24" fillId="6" borderId="29" xfId="3" applyFont="1" applyFill="1" applyBorder="1" applyAlignment="1">
      <alignment horizontal="center" vertical="center" wrapText="1"/>
    </xf>
    <xf numFmtId="0" fontId="24" fillId="6" borderId="30" xfId="3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left"/>
    </xf>
    <xf numFmtId="0" fontId="13" fillId="3" borderId="17" xfId="0" applyFont="1" applyFill="1" applyBorder="1" applyAlignment="1">
      <alignment horizontal="left"/>
    </xf>
    <xf numFmtId="0" fontId="13" fillId="3" borderId="13" xfId="0" applyFont="1" applyFill="1" applyBorder="1" applyAlignment="1">
      <alignment horizontal="left"/>
    </xf>
    <xf numFmtId="4" fontId="24" fillId="3" borderId="2" xfId="3" applyNumberFormat="1" applyFont="1" applyFill="1" applyBorder="1" applyAlignment="1" applyProtection="1">
      <alignment horizontal="center" vertical="center"/>
      <protection hidden="1"/>
    </xf>
    <xf numFmtId="4" fontId="24" fillId="7" borderId="2" xfId="3" applyNumberFormat="1" applyFont="1" applyFill="1" applyBorder="1" applyAlignment="1" applyProtection="1">
      <alignment horizontal="center" vertical="center"/>
      <protection hidden="1"/>
    </xf>
    <xf numFmtId="0" fontId="24" fillId="6" borderId="2" xfId="3" applyFont="1" applyFill="1" applyBorder="1" applyAlignment="1" applyProtection="1">
      <alignment horizontal="center" vertical="center"/>
      <protection hidden="1"/>
    </xf>
    <xf numFmtId="0" fontId="24" fillId="6" borderId="2" xfId="3" applyFont="1" applyFill="1" applyBorder="1" applyAlignment="1" applyProtection="1">
      <alignment horizontal="center" vertical="center" wrapText="1"/>
      <protection hidden="1"/>
    </xf>
    <xf numFmtId="0" fontId="24" fillId="6" borderId="2" xfId="3" applyFont="1" applyFill="1" applyBorder="1" applyAlignment="1">
      <alignment horizontal="center" vertical="center"/>
    </xf>
    <xf numFmtId="0" fontId="24" fillId="6" borderId="2" xfId="3" applyFont="1" applyFill="1" applyBorder="1" applyAlignment="1">
      <alignment horizontal="center" vertical="center" wrapText="1"/>
    </xf>
    <xf numFmtId="0" fontId="13" fillId="3" borderId="2" xfId="0" applyFont="1" applyFill="1" applyBorder="1" applyAlignment="1" applyProtection="1">
      <alignment horizontal="left"/>
      <protection hidden="1"/>
    </xf>
    <xf numFmtId="49" fontId="24" fillId="3" borderId="2" xfId="3" applyNumberFormat="1" applyFont="1" applyFill="1" applyBorder="1" applyAlignment="1" applyProtection="1">
      <alignment horizontal="center" vertical="center"/>
      <protection hidden="1"/>
    </xf>
    <xf numFmtId="0" fontId="24" fillId="3" borderId="2" xfId="5" applyFont="1" applyFill="1" applyBorder="1" applyAlignment="1" applyProtection="1">
      <alignment horizontal="center" vertical="center" wrapText="1"/>
      <protection hidden="1"/>
    </xf>
    <xf numFmtId="165" fontId="24" fillId="3" borderId="2" xfId="5" applyNumberFormat="1" applyFont="1" applyFill="1" applyBorder="1" applyAlignment="1" applyProtection="1">
      <alignment horizontal="center" vertical="center" wrapText="1"/>
      <protection hidden="1"/>
    </xf>
    <xf numFmtId="0" fontId="24" fillId="3" borderId="2" xfId="5" applyFont="1" applyFill="1" applyBorder="1" applyAlignment="1">
      <alignment horizontal="center" vertical="center" wrapText="1"/>
    </xf>
    <xf numFmtId="165" fontId="24" fillId="3" borderId="2" xfId="5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12">
    <cellStyle name="Гиперссылка" xfId="2" builtinId="8"/>
    <cellStyle name="Заголовок 1" xfId="6" builtinId="16"/>
    <cellStyle name="Обычный" xfId="0" builtinId="0"/>
    <cellStyle name="Обычный 2" xfId="1" xr:uid="{00000000-0005-0000-0000-000003000000}"/>
    <cellStyle name="Обычный 3" xfId="10" xr:uid="{00000000-0005-0000-0000-000004000000}"/>
    <cellStyle name="Обычный 4" xfId="5" xr:uid="{00000000-0005-0000-0000-000005000000}"/>
    <cellStyle name="Обычный 6" xfId="3" xr:uid="{00000000-0005-0000-0000-000006000000}"/>
    <cellStyle name="Обычный 8" xfId="7" xr:uid="{00000000-0005-0000-0000-000007000000}"/>
    <cellStyle name="Обычный_Лист1 3 2" xfId="4" xr:uid="{00000000-0005-0000-0000-000008000000}"/>
    <cellStyle name="Обычный_Прайс_Монтажная система" xfId="8" xr:uid="{00000000-0005-0000-0000-000009000000}"/>
    <cellStyle name="Финансовый" xfId="11" builtinId="3"/>
    <cellStyle name="Финансовый 3" xfId="9" xr:uid="{00000000-0005-0000-0000-00000A000000}"/>
  </cellStyles>
  <dxfs count="0"/>
  <tableStyles count="0" defaultTableStyle="TableStyleMedium2" defaultPivotStyle="PivotStyleMedium9"/>
  <colors>
    <mruColors>
      <color rgb="FFDF3535"/>
      <color rgb="FF0457C6"/>
      <color rgb="FF02224E"/>
      <color rgb="FF3615FF"/>
      <color rgb="FF3333FF"/>
      <color rgb="FF4806BE"/>
      <color rgb="FF5E09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2" Type="http://schemas.openxmlformats.org/officeDocument/2006/relationships/image" Target="../media/image39.png"/><Relationship Id="rId1" Type="http://schemas.openxmlformats.org/officeDocument/2006/relationships/image" Target="../media/image38.jp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42.png"/><Relationship Id="rId15" Type="http://schemas.openxmlformats.org/officeDocument/2006/relationships/image" Target="../media/image52.jp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Relationship Id="rId14" Type="http://schemas.openxmlformats.org/officeDocument/2006/relationships/image" Target="../media/image5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3" Type="http://schemas.openxmlformats.org/officeDocument/2006/relationships/image" Target="../media/image55.jpeg"/><Relationship Id="rId7" Type="http://schemas.openxmlformats.org/officeDocument/2006/relationships/image" Target="../media/image59.jpeg"/><Relationship Id="rId2" Type="http://schemas.openxmlformats.org/officeDocument/2006/relationships/image" Target="../media/image54.jpeg"/><Relationship Id="rId1" Type="http://schemas.openxmlformats.org/officeDocument/2006/relationships/image" Target="../media/image53.jpeg"/><Relationship Id="rId6" Type="http://schemas.openxmlformats.org/officeDocument/2006/relationships/image" Target="../media/image58.jpeg"/><Relationship Id="rId5" Type="http://schemas.openxmlformats.org/officeDocument/2006/relationships/image" Target="../media/image57.png"/><Relationship Id="rId4" Type="http://schemas.openxmlformats.org/officeDocument/2006/relationships/image" Target="../media/image5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g"/><Relationship Id="rId2" Type="http://schemas.openxmlformats.org/officeDocument/2006/relationships/image" Target="../media/image62.jpg"/><Relationship Id="rId1" Type="http://schemas.openxmlformats.org/officeDocument/2006/relationships/image" Target="../media/image61.jpg"/><Relationship Id="rId6" Type="http://schemas.openxmlformats.org/officeDocument/2006/relationships/image" Target="../media/image66.jpeg"/><Relationship Id="rId5" Type="http://schemas.openxmlformats.org/officeDocument/2006/relationships/image" Target="../media/image65.jpeg"/><Relationship Id="rId4" Type="http://schemas.openxmlformats.org/officeDocument/2006/relationships/image" Target="../media/image64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9.jpeg"/><Relationship Id="rId18" Type="http://schemas.openxmlformats.org/officeDocument/2006/relationships/image" Target="../media/image84.jpeg"/><Relationship Id="rId3" Type="http://schemas.openxmlformats.org/officeDocument/2006/relationships/image" Target="../media/image69.jpg"/><Relationship Id="rId7" Type="http://schemas.openxmlformats.org/officeDocument/2006/relationships/image" Target="../media/image73.png"/><Relationship Id="rId12" Type="http://schemas.openxmlformats.org/officeDocument/2006/relationships/image" Target="../media/image78.jpeg"/><Relationship Id="rId17" Type="http://schemas.openxmlformats.org/officeDocument/2006/relationships/image" Target="../media/image83.jpeg"/><Relationship Id="rId2" Type="http://schemas.openxmlformats.org/officeDocument/2006/relationships/image" Target="../media/image68.jpg"/><Relationship Id="rId16" Type="http://schemas.openxmlformats.org/officeDocument/2006/relationships/image" Target="../media/image82.jpeg"/><Relationship Id="rId1" Type="http://schemas.openxmlformats.org/officeDocument/2006/relationships/image" Target="../media/image67.jpg"/><Relationship Id="rId6" Type="http://schemas.openxmlformats.org/officeDocument/2006/relationships/image" Target="../media/image72.png"/><Relationship Id="rId11" Type="http://schemas.openxmlformats.org/officeDocument/2006/relationships/image" Target="../media/image77.jpeg"/><Relationship Id="rId5" Type="http://schemas.openxmlformats.org/officeDocument/2006/relationships/image" Target="../media/image71.jpg"/><Relationship Id="rId15" Type="http://schemas.openxmlformats.org/officeDocument/2006/relationships/image" Target="../media/image81.jpeg"/><Relationship Id="rId10" Type="http://schemas.openxmlformats.org/officeDocument/2006/relationships/image" Target="../media/image76.jpeg"/><Relationship Id="rId19" Type="http://schemas.openxmlformats.org/officeDocument/2006/relationships/image" Target="../media/image85.jpeg"/><Relationship Id="rId4" Type="http://schemas.openxmlformats.org/officeDocument/2006/relationships/image" Target="../media/image70.jpg"/><Relationship Id="rId9" Type="http://schemas.openxmlformats.org/officeDocument/2006/relationships/image" Target="../media/image75.jpeg"/><Relationship Id="rId14" Type="http://schemas.openxmlformats.org/officeDocument/2006/relationships/image" Target="../media/image80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image" Target="../media/image8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png"/><Relationship Id="rId2" Type="http://schemas.openxmlformats.org/officeDocument/2006/relationships/image" Target="../media/image91.png"/><Relationship Id="rId1" Type="http://schemas.openxmlformats.org/officeDocument/2006/relationships/image" Target="../media/image90.png"/><Relationship Id="rId4" Type="http://schemas.openxmlformats.org/officeDocument/2006/relationships/image" Target="../media/image9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5.png"/><Relationship Id="rId1" Type="http://schemas.openxmlformats.org/officeDocument/2006/relationships/image" Target="../media/image94.png"/><Relationship Id="rId4" Type="http://schemas.openxmlformats.org/officeDocument/2006/relationships/image" Target="../media/image97.png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0.png"/><Relationship Id="rId18" Type="http://schemas.openxmlformats.org/officeDocument/2006/relationships/image" Target="../media/image115.png"/><Relationship Id="rId26" Type="http://schemas.openxmlformats.org/officeDocument/2006/relationships/image" Target="../media/image123.png"/><Relationship Id="rId39" Type="http://schemas.openxmlformats.org/officeDocument/2006/relationships/image" Target="../media/image136.png"/><Relationship Id="rId21" Type="http://schemas.openxmlformats.org/officeDocument/2006/relationships/image" Target="../media/image118.png"/><Relationship Id="rId34" Type="http://schemas.openxmlformats.org/officeDocument/2006/relationships/image" Target="../media/image131.png"/><Relationship Id="rId42" Type="http://schemas.openxmlformats.org/officeDocument/2006/relationships/image" Target="../media/image139.png"/><Relationship Id="rId47" Type="http://schemas.openxmlformats.org/officeDocument/2006/relationships/image" Target="../media/image144.png"/><Relationship Id="rId50" Type="http://schemas.openxmlformats.org/officeDocument/2006/relationships/image" Target="../media/image147.png"/><Relationship Id="rId55" Type="http://schemas.openxmlformats.org/officeDocument/2006/relationships/image" Target="../media/image152.jpeg"/><Relationship Id="rId7" Type="http://schemas.openxmlformats.org/officeDocument/2006/relationships/image" Target="../media/image104.png"/><Relationship Id="rId2" Type="http://schemas.openxmlformats.org/officeDocument/2006/relationships/image" Target="../media/image99.png"/><Relationship Id="rId16" Type="http://schemas.openxmlformats.org/officeDocument/2006/relationships/image" Target="../media/image113.png"/><Relationship Id="rId29" Type="http://schemas.openxmlformats.org/officeDocument/2006/relationships/image" Target="../media/image126.png"/><Relationship Id="rId11" Type="http://schemas.openxmlformats.org/officeDocument/2006/relationships/image" Target="../media/image108.png"/><Relationship Id="rId24" Type="http://schemas.openxmlformats.org/officeDocument/2006/relationships/image" Target="../media/image121.png"/><Relationship Id="rId32" Type="http://schemas.openxmlformats.org/officeDocument/2006/relationships/image" Target="../media/image129.png"/><Relationship Id="rId37" Type="http://schemas.openxmlformats.org/officeDocument/2006/relationships/image" Target="../media/image134.png"/><Relationship Id="rId40" Type="http://schemas.openxmlformats.org/officeDocument/2006/relationships/image" Target="../media/image137.png"/><Relationship Id="rId45" Type="http://schemas.openxmlformats.org/officeDocument/2006/relationships/image" Target="../media/image142.png"/><Relationship Id="rId53" Type="http://schemas.openxmlformats.org/officeDocument/2006/relationships/image" Target="../media/image150.jpeg"/><Relationship Id="rId5" Type="http://schemas.openxmlformats.org/officeDocument/2006/relationships/image" Target="../media/image102.png"/><Relationship Id="rId10" Type="http://schemas.openxmlformats.org/officeDocument/2006/relationships/image" Target="../media/image107.png"/><Relationship Id="rId19" Type="http://schemas.openxmlformats.org/officeDocument/2006/relationships/image" Target="../media/image116.png"/><Relationship Id="rId31" Type="http://schemas.openxmlformats.org/officeDocument/2006/relationships/image" Target="../media/image128.png"/><Relationship Id="rId44" Type="http://schemas.openxmlformats.org/officeDocument/2006/relationships/image" Target="../media/image141.png"/><Relationship Id="rId52" Type="http://schemas.openxmlformats.org/officeDocument/2006/relationships/image" Target="../media/image149.png"/><Relationship Id="rId4" Type="http://schemas.openxmlformats.org/officeDocument/2006/relationships/image" Target="../media/image101.png"/><Relationship Id="rId9" Type="http://schemas.openxmlformats.org/officeDocument/2006/relationships/image" Target="../media/image106.png"/><Relationship Id="rId14" Type="http://schemas.openxmlformats.org/officeDocument/2006/relationships/image" Target="../media/image111.png"/><Relationship Id="rId22" Type="http://schemas.openxmlformats.org/officeDocument/2006/relationships/image" Target="../media/image119.png"/><Relationship Id="rId27" Type="http://schemas.openxmlformats.org/officeDocument/2006/relationships/image" Target="../media/image124.png"/><Relationship Id="rId30" Type="http://schemas.openxmlformats.org/officeDocument/2006/relationships/image" Target="../media/image127.png"/><Relationship Id="rId35" Type="http://schemas.openxmlformats.org/officeDocument/2006/relationships/image" Target="../media/image132.png"/><Relationship Id="rId43" Type="http://schemas.openxmlformats.org/officeDocument/2006/relationships/image" Target="../media/image140.png"/><Relationship Id="rId48" Type="http://schemas.openxmlformats.org/officeDocument/2006/relationships/image" Target="../media/image145.png"/><Relationship Id="rId8" Type="http://schemas.openxmlformats.org/officeDocument/2006/relationships/image" Target="../media/image105.png"/><Relationship Id="rId51" Type="http://schemas.openxmlformats.org/officeDocument/2006/relationships/image" Target="../media/image148.png"/><Relationship Id="rId3" Type="http://schemas.openxmlformats.org/officeDocument/2006/relationships/image" Target="../media/image100.png"/><Relationship Id="rId12" Type="http://schemas.openxmlformats.org/officeDocument/2006/relationships/image" Target="../media/image109.png"/><Relationship Id="rId17" Type="http://schemas.openxmlformats.org/officeDocument/2006/relationships/image" Target="../media/image114.png"/><Relationship Id="rId25" Type="http://schemas.openxmlformats.org/officeDocument/2006/relationships/image" Target="../media/image122.png"/><Relationship Id="rId33" Type="http://schemas.openxmlformats.org/officeDocument/2006/relationships/image" Target="../media/image130.png"/><Relationship Id="rId38" Type="http://schemas.openxmlformats.org/officeDocument/2006/relationships/image" Target="../media/image135.png"/><Relationship Id="rId46" Type="http://schemas.openxmlformats.org/officeDocument/2006/relationships/image" Target="../media/image143.jpeg"/><Relationship Id="rId20" Type="http://schemas.openxmlformats.org/officeDocument/2006/relationships/image" Target="../media/image117.png"/><Relationship Id="rId41" Type="http://schemas.openxmlformats.org/officeDocument/2006/relationships/image" Target="../media/image138.png"/><Relationship Id="rId54" Type="http://schemas.openxmlformats.org/officeDocument/2006/relationships/image" Target="../media/image151.jpeg"/><Relationship Id="rId1" Type="http://schemas.openxmlformats.org/officeDocument/2006/relationships/image" Target="../media/image98.png"/><Relationship Id="rId6" Type="http://schemas.openxmlformats.org/officeDocument/2006/relationships/image" Target="../media/image103.png"/><Relationship Id="rId15" Type="http://schemas.openxmlformats.org/officeDocument/2006/relationships/image" Target="../media/image112.png"/><Relationship Id="rId23" Type="http://schemas.openxmlformats.org/officeDocument/2006/relationships/image" Target="../media/image120.png"/><Relationship Id="rId28" Type="http://schemas.openxmlformats.org/officeDocument/2006/relationships/image" Target="../media/image125.png"/><Relationship Id="rId36" Type="http://schemas.openxmlformats.org/officeDocument/2006/relationships/image" Target="../media/image133.png"/><Relationship Id="rId49" Type="http://schemas.openxmlformats.org/officeDocument/2006/relationships/image" Target="../media/image14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jpeg"/><Relationship Id="rId2" Type="http://schemas.openxmlformats.org/officeDocument/2006/relationships/image" Target="../media/image154.jpeg"/><Relationship Id="rId1" Type="http://schemas.openxmlformats.org/officeDocument/2006/relationships/image" Target="../media/image153.jpeg"/><Relationship Id="rId6" Type="http://schemas.openxmlformats.org/officeDocument/2006/relationships/image" Target="../media/image158.jpeg"/><Relationship Id="rId5" Type="http://schemas.openxmlformats.org/officeDocument/2006/relationships/image" Target="../media/image157.jpeg"/><Relationship Id="rId4" Type="http://schemas.openxmlformats.org/officeDocument/2006/relationships/image" Target="../media/image15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2.jpeg"/><Relationship Id="rId2" Type="http://schemas.openxmlformats.org/officeDocument/2006/relationships/image" Target="../media/image161.png"/><Relationship Id="rId1" Type="http://schemas.openxmlformats.org/officeDocument/2006/relationships/image" Target="../media/image160.jpeg"/><Relationship Id="rId4" Type="http://schemas.openxmlformats.org/officeDocument/2006/relationships/image" Target="../media/image163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g"/><Relationship Id="rId3" Type="http://schemas.openxmlformats.org/officeDocument/2006/relationships/image" Target="../media/image68.jpg"/><Relationship Id="rId7" Type="http://schemas.openxmlformats.org/officeDocument/2006/relationships/image" Target="../media/image70.jpg"/><Relationship Id="rId2" Type="http://schemas.openxmlformats.org/officeDocument/2006/relationships/image" Target="../media/image67.jpg"/><Relationship Id="rId1" Type="http://schemas.openxmlformats.org/officeDocument/2006/relationships/image" Target="../media/image164.jpg"/><Relationship Id="rId6" Type="http://schemas.openxmlformats.org/officeDocument/2006/relationships/image" Target="../media/image166.jpg"/><Relationship Id="rId5" Type="http://schemas.openxmlformats.org/officeDocument/2006/relationships/image" Target="../media/image69.jpg"/><Relationship Id="rId4" Type="http://schemas.openxmlformats.org/officeDocument/2006/relationships/image" Target="../media/image16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1.jpg"/><Relationship Id="rId7" Type="http://schemas.openxmlformats.org/officeDocument/2006/relationships/image" Target="../media/image35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6" Type="http://schemas.openxmlformats.org/officeDocument/2006/relationships/image" Target="../media/image34.jpg"/><Relationship Id="rId5" Type="http://schemas.openxmlformats.org/officeDocument/2006/relationships/image" Target="../media/image33.jpg"/><Relationship Id="rId4" Type="http://schemas.openxmlformats.org/officeDocument/2006/relationships/image" Target="../media/image3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43132</xdr:colOff>
      <xdr:row>0</xdr:row>
      <xdr:rowOff>69011</xdr:rowOff>
    </xdr:from>
    <xdr:to>
      <xdr:col>1</xdr:col>
      <xdr:colOff>1733909</xdr:colOff>
      <xdr:row>4</xdr:row>
      <xdr:rowOff>231444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32" y="69011"/>
          <a:ext cx="2165230" cy="8956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4971</xdr:colOff>
      <xdr:row>0</xdr:row>
      <xdr:rowOff>8285</xdr:rowOff>
    </xdr:from>
    <xdr:to>
      <xdr:col>19</xdr:col>
      <xdr:colOff>240197</xdr:colOff>
      <xdr:row>6</xdr:row>
      <xdr:rowOff>111660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1146" y="8285"/>
          <a:ext cx="2064026" cy="1341625"/>
        </a:xfrm>
        <a:prstGeom prst="rect">
          <a:avLst/>
        </a:prstGeom>
        <a:effectLst>
          <a:softEdge rad="31750"/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11417</xdr:colOff>
      <xdr:row>106</xdr:row>
      <xdr:rowOff>56176</xdr:rowOff>
    </xdr:from>
    <xdr:to>
      <xdr:col>9</xdr:col>
      <xdr:colOff>550378</xdr:colOff>
      <xdr:row>106</xdr:row>
      <xdr:rowOff>1254770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8209" y="28916327"/>
          <a:ext cx="1710152" cy="1198594"/>
        </a:xfrm>
        <a:prstGeom prst="rect">
          <a:avLst/>
        </a:prstGeom>
      </xdr:spPr>
    </xdr:pic>
    <xdr:clientData/>
  </xdr:twoCellAnchor>
  <xdr:twoCellAnchor editAs="oneCell">
    <xdr:from>
      <xdr:col>6</xdr:col>
      <xdr:colOff>632603</xdr:colOff>
      <xdr:row>1</xdr:row>
      <xdr:rowOff>173951</xdr:rowOff>
    </xdr:from>
    <xdr:to>
      <xdr:col>9</xdr:col>
      <xdr:colOff>1198114</xdr:colOff>
      <xdr:row>8</xdr:row>
      <xdr:rowOff>160574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365BFB6-A70A-4C75-B8A9-378805ABD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7622" y="653197"/>
          <a:ext cx="2377058" cy="1702320"/>
        </a:xfrm>
        <a:prstGeom prst="rect">
          <a:avLst/>
        </a:prstGeom>
      </xdr:spPr>
    </xdr:pic>
    <xdr:clientData/>
  </xdr:twoCellAnchor>
  <xdr:twoCellAnchor editAs="oneCell">
    <xdr:from>
      <xdr:col>6</xdr:col>
      <xdr:colOff>536754</xdr:colOff>
      <xdr:row>15</xdr:row>
      <xdr:rowOff>218629</xdr:rowOff>
    </xdr:from>
    <xdr:to>
      <xdr:col>9</xdr:col>
      <xdr:colOff>1437737</xdr:colOff>
      <xdr:row>23</xdr:row>
      <xdr:rowOff>167536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27887B4-93BA-4A8B-B649-80A85C2B9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1773" y="4158026"/>
          <a:ext cx="2712530" cy="1942567"/>
        </a:xfrm>
        <a:prstGeom prst="rect">
          <a:avLst/>
        </a:prstGeom>
      </xdr:spPr>
    </xdr:pic>
    <xdr:clientData/>
  </xdr:twoCellAnchor>
  <xdr:twoCellAnchor editAs="oneCell">
    <xdr:from>
      <xdr:col>7</xdr:col>
      <xdr:colOff>86264</xdr:colOff>
      <xdr:row>98</xdr:row>
      <xdr:rowOff>142775</xdr:rowOff>
    </xdr:from>
    <xdr:to>
      <xdr:col>9</xdr:col>
      <xdr:colOff>1879792</xdr:colOff>
      <xdr:row>103</xdr:row>
      <xdr:rowOff>258792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48619AF-1316-4AAC-BEC9-38F312EC0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3056" y="23712058"/>
          <a:ext cx="3039566" cy="2176772"/>
        </a:xfrm>
        <a:prstGeom prst="rect">
          <a:avLst/>
        </a:prstGeom>
      </xdr:spPr>
    </xdr:pic>
    <xdr:clientData/>
  </xdr:twoCellAnchor>
  <xdr:twoCellAnchor editAs="oneCell">
    <xdr:from>
      <xdr:col>7</xdr:col>
      <xdr:colOff>191698</xdr:colOff>
      <xdr:row>42</xdr:row>
      <xdr:rowOff>124603</xdr:rowOff>
    </xdr:from>
    <xdr:to>
      <xdr:col>9</xdr:col>
      <xdr:colOff>1195812</xdr:colOff>
      <xdr:row>49</xdr:row>
      <xdr:rowOff>67093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C2A4974-6D88-4E6D-B802-C90D01D1B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8490" y="11022641"/>
          <a:ext cx="2355586" cy="1686943"/>
        </a:xfrm>
        <a:prstGeom prst="rect">
          <a:avLst/>
        </a:prstGeom>
      </xdr:spPr>
    </xdr:pic>
    <xdr:clientData/>
  </xdr:twoCellAnchor>
  <xdr:twoCellAnchor editAs="oneCell">
    <xdr:from>
      <xdr:col>6</xdr:col>
      <xdr:colOff>392981</xdr:colOff>
      <xdr:row>104</xdr:row>
      <xdr:rowOff>1533586</xdr:rowOff>
    </xdr:from>
    <xdr:to>
      <xdr:col>9</xdr:col>
      <xdr:colOff>421736</xdr:colOff>
      <xdr:row>106</xdr:row>
      <xdr:rowOff>33548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C9D4ED5-9B0D-4E62-8657-78602FD3B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0" y="27575775"/>
          <a:ext cx="1840302" cy="1317924"/>
        </a:xfrm>
        <a:prstGeom prst="rect">
          <a:avLst/>
        </a:prstGeom>
      </xdr:spPr>
    </xdr:pic>
    <xdr:clientData/>
  </xdr:twoCellAnchor>
  <xdr:twoCellAnchor editAs="oneCell">
    <xdr:from>
      <xdr:col>6</xdr:col>
      <xdr:colOff>642188</xdr:colOff>
      <xdr:row>107</xdr:row>
      <xdr:rowOff>21567</xdr:rowOff>
    </xdr:from>
    <xdr:to>
      <xdr:col>9</xdr:col>
      <xdr:colOff>834898</xdr:colOff>
      <xdr:row>107</xdr:row>
      <xdr:rowOff>1456907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8A669CF-03CB-4A79-9E19-52963C175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7207" y="30137340"/>
          <a:ext cx="2004257" cy="1435340"/>
        </a:xfrm>
        <a:prstGeom prst="rect">
          <a:avLst/>
        </a:prstGeom>
      </xdr:spPr>
    </xdr:pic>
    <xdr:clientData/>
  </xdr:twoCellAnchor>
  <xdr:twoCellAnchor editAs="oneCell">
    <xdr:from>
      <xdr:col>7</xdr:col>
      <xdr:colOff>86265</xdr:colOff>
      <xdr:row>107</xdr:row>
      <xdr:rowOff>1351048</xdr:rowOff>
    </xdr:from>
    <xdr:to>
      <xdr:col>9</xdr:col>
      <xdr:colOff>1423933</xdr:colOff>
      <xdr:row>113</xdr:row>
      <xdr:rowOff>124604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46799BD3-F7F1-49DD-A8D7-3E987CE6A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3057" y="31466821"/>
          <a:ext cx="2583707" cy="1850311"/>
        </a:xfrm>
        <a:prstGeom prst="rect">
          <a:avLst/>
        </a:prstGeom>
      </xdr:spPr>
    </xdr:pic>
    <xdr:clientData/>
  </xdr:twoCellAnchor>
  <xdr:twoCellAnchor editAs="oneCell">
    <xdr:from>
      <xdr:col>6</xdr:col>
      <xdr:colOff>623019</xdr:colOff>
      <xdr:row>104</xdr:row>
      <xdr:rowOff>14705</xdr:rowOff>
    </xdr:from>
    <xdr:to>
      <xdr:col>9</xdr:col>
      <xdr:colOff>929735</xdr:colOff>
      <xdr:row>104</xdr:row>
      <xdr:rowOff>1531690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E74973C-C0DD-4265-AE9B-924B7C280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8038" y="26056894"/>
          <a:ext cx="2118263" cy="1516985"/>
        </a:xfrm>
        <a:prstGeom prst="rect">
          <a:avLst/>
        </a:prstGeom>
      </xdr:spPr>
    </xdr:pic>
    <xdr:clientData/>
  </xdr:twoCellAnchor>
  <xdr:twoCellAnchor editAs="oneCell">
    <xdr:from>
      <xdr:col>7</xdr:col>
      <xdr:colOff>105433</xdr:colOff>
      <xdr:row>21</xdr:row>
      <xdr:rowOff>19171</xdr:rowOff>
    </xdr:from>
    <xdr:to>
      <xdr:col>9</xdr:col>
      <xdr:colOff>939321</xdr:colOff>
      <xdr:row>29</xdr:row>
      <xdr:rowOff>124605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DCAB25B7-56F9-4887-B947-72FC375E5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2225" y="5453812"/>
          <a:ext cx="2099095" cy="2099095"/>
        </a:xfrm>
        <a:prstGeom prst="rect">
          <a:avLst/>
        </a:prstGeom>
      </xdr:spPr>
    </xdr:pic>
    <xdr:clientData/>
  </xdr:twoCellAnchor>
  <xdr:twoCellAnchor editAs="oneCell">
    <xdr:from>
      <xdr:col>7</xdr:col>
      <xdr:colOff>9586</xdr:colOff>
      <xdr:row>7</xdr:row>
      <xdr:rowOff>124605</xdr:rowOff>
    </xdr:from>
    <xdr:to>
      <xdr:col>9</xdr:col>
      <xdr:colOff>1198112</xdr:colOff>
      <xdr:row>16</xdr:row>
      <xdr:rowOff>239624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2224EE17-8F97-463F-95DA-93A12B704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6378" y="2070341"/>
          <a:ext cx="2357886" cy="2357886"/>
        </a:xfrm>
        <a:prstGeom prst="rect">
          <a:avLst/>
        </a:prstGeom>
      </xdr:spPr>
    </xdr:pic>
    <xdr:clientData/>
  </xdr:twoCellAnchor>
  <xdr:twoCellAnchor editAs="oneCell">
    <xdr:from>
      <xdr:col>7</xdr:col>
      <xdr:colOff>3</xdr:colOff>
      <xdr:row>29</xdr:row>
      <xdr:rowOff>132890</xdr:rowOff>
    </xdr:from>
    <xdr:to>
      <xdr:col>9</xdr:col>
      <xdr:colOff>968073</xdr:colOff>
      <xdr:row>34</xdr:row>
      <xdr:rowOff>180663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4509136-EC14-4BE8-9CAD-1D35974A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795" y="7561192"/>
          <a:ext cx="2127847" cy="1523849"/>
        </a:xfrm>
        <a:prstGeom prst="rect">
          <a:avLst/>
        </a:prstGeom>
      </xdr:spPr>
    </xdr:pic>
    <xdr:clientData/>
  </xdr:twoCellAnchor>
  <xdr:twoCellAnchor editAs="oneCell">
    <xdr:from>
      <xdr:col>6</xdr:col>
      <xdr:colOff>534907</xdr:colOff>
      <xdr:row>34</xdr:row>
      <xdr:rowOff>162942</xdr:rowOff>
    </xdr:from>
    <xdr:to>
      <xdr:col>9</xdr:col>
      <xdr:colOff>1054340</xdr:colOff>
      <xdr:row>41</xdr:row>
      <xdr:rowOff>87811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5F1E3CE-5D6D-4FBB-9C0D-8EA946EB5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9926" y="9067320"/>
          <a:ext cx="2330980" cy="1669321"/>
        </a:xfrm>
        <a:prstGeom prst="rect">
          <a:avLst/>
        </a:prstGeom>
      </xdr:spPr>
    </xdr:pic>
    <xdr:clientData/>
  </xdr:twoCellAnchor>
  <xdr:twoCellAnchor editAs="oneCell">
    <xdr:from>
      <xdr:col>7</xdr:col>
      <xdr:colOff>39297</xdr:colOff>
      <xdr:row>64</xdr:row>
      <xdr:rowOff>105436</xdr:rowOff>
    </xdr:from>
    <xdr:to>
      <xdr:col>10</xdr:col>
      <xdr:colOff>185577</xdr:colOff>
      <xdr:row>78</xdr:row>
      <xdr:rowOff>38340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9CEE08AE-B0AF-400A-9B12-6451D296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089" y="16486039"/>
          <a:ext cx="3559464" cy="288505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115020</xdr:rowOff>
    </xdr:from>
    <xdr:to>
      <xdr:col>10</xdr:col>
      <xdr:colOff>35354</xdr:colOff>
      <xdr:row>95</xdr:row>
      <xdr:rowOff>9585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70D0D267-0728-477D-A051-F0997420C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792" y="20089963"/>
          <a:ext cx="3409241" cy="28467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47</xdr:row>
      <xdr:rowOff>837649</xdr:rowOff>
    </xdr:from>
    <xdr:to>
      <xdr:col>5</xdr:col>
      <xdr:colOff>532201</xdr:colOff>
      <xdr:row>50</xdr:row>
      <xdr:rowOff>41413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6544" y="10130736"/>
          <a:ext cx="1664042" cy="1117046"/>
        </a:xfrm>
        <a:prstGeom prst="rect">
          <a:avLst/>
        </a:prstGeom>
      </xdr:spPr>
    </xdr:pic>
    <xdr:clientData/>
  </xdr:twoCellAnchor>
  <xdr:twoCellAnchor editAs="oneCell">
    <xdr:from>
      <xdr:col>3</xdr:col>
      <xdr:colOff>86264</xdr:colOff>
      <xdr:row>4</xdr:row>
      <xdr:rowOff>25879</xdr:rowOff>
    </xdr:from>
    <xdr:to>
      <xdr:col>7</xdr:col>
      <xdr:colOff>345056</xdr:colOff>
      <xdr:row>14</xdr:row>
      <xdr:rowOff>108514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AA463A7-C0B8-4B2F-A1EB-6F91B69B2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630" y="854015"/>
          <a:ext cx="2950233" cy="1980446"/>
        </a:xfrm>
        <a:prstGeom prst="rect">
          <a:avLst/>
        </a:prstGeom>
      </xdr:spPr>
    </xdr:pic>
    <xdr:clientData/>
  </xdr:twoCellAnchor>
  <xdr:twoCellAnchor editAs="oneCell">
    <xdr:from>
      <xdr:col>3</xdr:col>
      <xdr:colOff>17254</xdr:colOff>
      <xdr:row>17</xdr:row>
      <xdr:rowOff>172526</xdr:rowOff>
    </xdr:from>
    <xdr:to>
      <xdr:col>7</xdr:col>
      <xdr:colOff>444734</xdr:colOff>
      <xdr:row>27</xdr:row>
      <xdr:rowOff>86263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F5E0298F-22A8-4DC2-B6A4-94AF55F9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6620" y="3467817"/>
          <a:ext cx="3049911" cy="2035835"/>
        </a:xfrm>
        <a:prstGeom prst="rect">
          <a:avLst/>
        </a:prstGeom>
      </xdr:spPr>
    </xdr:pic>
    <xdr:clientData/>
  </xdr:twoCellAnchor>
  <xdr:twoCellAnchor editAs="oneCell">
    <xdr:from>
      <xdr:col>3</xdr:col>
      <xdr:colOff>8625</xdr:colOff>
      <xdr:row>28</xdr:row>
      <xdr:rowOff>34507</xdr:rowOff>
    </xdr:from>
    <xdr:to>
      <xdr:col>7</xdr:col>
      <xdr:colOff>144850</xdr:colOff>
      <xdr:row>36</xdr:row>
      <xdr:rowOff>181155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6DA46D2-CBE7-4F18-827F-22EE522B3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7991" y="5667556"/>
          <a:ext cx="2750027" cy="184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1187184</xdr:colOff>
      <xdr:row>45</xdr:row>
      <xdr:rowOff>207034</xdr:rowOff>
    </xdr:from>
    <xdr:to>
      <xdr:col>5</xdr:col>
      <xdr:colOff>741872</xdr:colOff>
      <xdr:row>49</xdr:row>
      <xdr:rowOff>78782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27731B41-FF16-446F-B5D8-D50C6E0E7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214" y="9454551"/>
          <a:ext cx="2013216" cy="1441756"/>
        </a:xfrm>
        <a:prstGeom prst="rect">
          <a:avLst/>
        </a:prstGeom>
      </xdr:spPr>
    </xdr:pic>
    <xdr:clientData/>
  </xdr:twoCellAnchor>
  <xdr:twoCellAnchor editAs="oneCell">
    <xdr:from>
      <xdr:col>3</xdr:col>
      <xdr:colOff>69011</xdr:colOff>
      <xdr:row>50</xdr:row>
      <xdr:rowOff>189780</xdr:rowOff>
    </xdr:from>
    <xdr:to>
      <xdr:col>7</xdr:col>
      <xdr:colOff>78348</xdr:colOff>
      <xdr:row>52</xdr:row>
      <xdr:rowOff>129396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7E06768-1A70-450B-995C-66D568431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8377" y="11800935"/>
          <a:ext cx="2683525" cy="1811548"/>
        </a:xfrm>
        <a:prstGeom prst="rect">
          <a:avLst/>
        </a:prstGeom>
      </xdr:spPr>
    </xdr:pic>
    <xdr:clientData/>
  </xdr:twoCellAnchor>
  <xdr:twoCellAnchor editAs="oneCell">
    <xdr:from>
      <xdr:col>3</xdr:col>
      <xdr:colOff>8627</xdr:colOff>
      <xdr:row>52</xdr:row>
      <xdr:rowOff>158954</xdr:rowOff>
    </xdr:from>
    <xdr:to>
      <xdr:col>6</xdr:col>
      <xdr:colOff>69011</xdr:colOff>
      <xdr:row>55</xdr:row>
      <xdr:rowOff>73505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F734378-57BD-4D06-8426-58B50378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7993" y="13642041"/>
          <a:ext cx="2044460" cy="1372415"/>
        </a:xfrm>
        <a:prstGeom prst="rect">
          <a:avLst/>
        </a:prstGeom>
      </xdr:spPr>
    </xdr:pic>
    <xdr:clientData/>
  </xdr:twoCellAnchor>
  <xdr:twoCellAnchor editAs="oneCell">
    <xdr:from>
      <xdr:col>2</xdr:col>
      <xdr:colOff>1285335</xdr:colOff>
      <xdr:row>36</xdr:row>
      <xdr:rowOff>127832</xdr:rowOff>
    </xdr:from>
    <xdr:to>
      <xdr:col>7</xdr:col>
      <xdr:colOff>288538</xdr:colOff>
      <xdr:row>45</xdr:row>
      <xdr:rowOff>155275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019975F-7726-4FBB-A842-A4DB1C66C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9365" y="7460285"/>
          <a:ext cx="2893716" cy="194250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</xdr:colOff>
      <xdr:row>2</xdr:row>
      <xdr:rowOff>87888</xdr:rowOff>
    </xdr:from>
    <xdr:to>
      <xdr:col>12</xdr:col>
      <xdr:colOff>726802</xdr:colOff>
      <xdr:row>7</xdr:row>
      <xdr:rowOff>46064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3036" y="527835"/>
          <a:ext cx="1943126" cy="1347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19949</xdr:colOff>
      <xdr:row>11</xdr:row>
      <xdr:rowOff>239875</xdr:rowOff>
    </xdr:from>
    <xdr:to>
      <xdr:col>12</xdr:col>
      <xdr:colOff>677105</xdr:colOff>
      <xdr:row>16</xdr:row>
      <xdr:rowOff>59577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885" y="3310879"/>
          <a:ext cx="1893429" cy="131207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15</xdr:row>
      <xdr:rowOff>228918</xdr:rowOff>
    </xdr:from>
    <xdr:to>
      <xdr:col>12</xdr:col>
      <xdr:colOff>555347</xdr:colOff>
      <xdr:row>19</xdr:row>
      <xdr:rowOff>122246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3986" y="4516246"/>
          <a:ext cx="1771671" cy="1239049"/>
        </a:xfrm>
        <a:prstGeom prst="rect">
          <a:avLst/>
        </a:prstGeom>
      </xdr:spPr>
    </xdr:pic>
    <xdr:clientData/>
  </xdr:twoCellAnchor>
  <xdr:twoCellAnchor editAs="oneCell">
    <xdr:from>
      <xdr:col>10</xdr:col>
      <xdr:colOff>19949</xdr:colOff>
      <xdr:row>21</xdr:row>
      <xdr:rowOff>84167</xdr:rowOff>
    </xdr:from>
    <xdr:to>
      <xdr:col>12</xdr:col>
      <xdr:colOff>535092</xdr:colOff>
      <xdr:row>23</xdr:row>
      <xdr:rowOff>327803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885" y="6657495"/>
          <a:ext cx="1751416" cy="1045893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7</xdr:row>
      <xdr:rowOff>67393</xdr:rowOff>
    </xdr:from>
    <xdr:to>
      <xdr:col>12</xdr:col>
      <xdr:colOff>438736</xdr:colOff>
      <xdr:row>11</xdr:row>
      <xdr:rowOff>199665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136" y="1896193"/>
          <a:ext cx="1655060" cy="1374476"/>
        </a:xfrm>
        <a:prstGeom prst="rect">
          <a:avLst/>
        </a:prstGeom>
      </xdr:spPr>
    </xdr:pic>
    <xdr:clientData/>
  </xdr:twoCellAnchor>
  <xdr:twoCellAnchor editAs="oneCell">
    <xdr:from>
      <xdr:col>11</xdr:col>
      <xdr:colOff>43133</xdr:colOff>
      <xdr:row>19</xdr:row>
      <xdr:rowOff>25940</xdr:rowOff>
    </xdr:from>
    <xdr:to>
      <xdr:col>12</xdr:col>
      <xdr:colOff>150784</xdr:colOff>
      <xdr:row>20</xdr:row>
      <xdr:rowOff>468923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069" y="5658989"/>
          <a:ext cx="1323975" cy="90880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53352</xdr:colOff>
      <xdr:row>53</xdr:row>
      <xdr:rowOff>57986</xdr:rowOff>
    </xdr:from>
    <xdr:to>
      <xdr:col>3</xdr:col>
      <xdr:colOff>366287</xdr:colOff>
      <xdr:row>59</xdr:row>
      <xdr:rowOff>74548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97409" y="9741255"/>
          <a:ext cx="1159562" cy="826457"/>
        </a:xfrm>
        <a:prstGeom prst="rect">
          <a:avLst/>
        </a:prstGeom>
      </xdr:spPr>
    </xdr:pic>
    <xdr:clientData/>
  </xdr:twoCellAnchor>
  <xdr:twoCellAnchor editAs="oneCell">
    <xdr:from>
      <xdr:col>2</xdr:col>
      <xdr:colOff>60963</xdr:colOff>
      <xdr:row>27</xdr:row>
      <xdr:rowOff>165322</xdr:rowOff>
    </xdr:from>
    <xdr:to>
      <xdr:col>4</xdr:col>
      <xdr:colOff>107673</xdr:colOff>
      <xdr:row>32</xdr:row>
      <xdr:rowOff>66265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2680" y="4538539"/>
          <a:ext cx="1181428" cy="853443"/>
        </a:xfrm>
        <a:prstGeom prst="rect">
          <a:avLst/>
        </a:prstGeom>
      </xdr:spPr>
    </xdr:pic>
    <xdr:clientData/>
  </xdr:twoCellAnchor>
  <xdr:twoCellAnchor editAs="oneCell">
    <xdr:from>
      <xdr:col>2</xdr:col>
      <xdr:colOff>59731</xdr:colOff>
      <xdr:row>73</xdr:row>
      <xdr:rowOff>151224</xdr:rowOff>
    </xdr:from>
    <xdr:to>
      <xdr:col>4</xdr:col>
      <xdr:colOff>41414</xdr:colOff>
      <xdr:row>78</xdr:row>
      <xdr:rowOff>135477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448" y="33861441"/>
          <a:ext cx="1116401" cy="936753"/>
        </a:xfrm>
        <a:prstGeom prst="rect">
          <a:avLst/>
        </a:prstGeom>
      </xdr:spPr>
    </xdr:pic>
    <xdr:clientData/>
  </xdr:twoCellAnchor>
  <xdr:twoCellAnchor editAs="oneCell">
    <xdr:from>
      <xdr:col>2</xdr:col>
      <xdr:colOff>176768</xdr:colOff>
      <xdr:row>46</xdr:row>
      <xdr:rowOff>76133</xdr:rowOff>
    </xdr:from>
    <xdr:to>
      <xdr:col>4</xdr:col>
      <xdr:colOff>6390</xdr:colOff>
      <xdr:row>50</xdr:row>
      <xdr:rowOff>8280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377" y="8259350"/>
          <a:ext cx="964340" cy="694147"/>
        </a:xfrm>
        <a:prstGeom prst="rect">
          <a:avLst/>
        </a:prstGeom>
      </xdr:spPr>
    </xdr:pic>
    <xdr:clientData/>
  </xdr:twoCellAnchor>
  <xdr:twoCellAnchor editAs="oneCell">
    <xdr:from>
      <xdr:col>2</xdr:col>
      <xdr:colOff>115955</xdr:colOff>
      <xdr:row>82</xdr:row>
      <xdr:rowOff>33129</xdr:rowOff>
    </xdr:from>
    <xdr:to>
      <xdr:col>3</xdr:col>
      <xdr:colOff>482496</xdr:colOff>
      <xdr:row>83</xdr:row>
      <xdr:rowOff>521804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7672" y="16391281"/>
          <a:ext cx="880063" cy="1010480"/>
        </a:xfrm>
        <a:prstGeom prst="rect">
          <a:avLst/>
        </a:prstGeom>
      </xdr:spPr>
    </xdr:pic>
    <xdr:clientData/>
  </xdr:twoCellAnchor>
  <xdr:twoCellAnchor editAs="oneCell">
    <xdr:from>
      <xdr:col>13</xdr:col>
      <xdr:colOff>563217</xdr:colOff>
      <xdr:row>1</xdr:row>
      <xdr:rowOff>47120</xdr:rowOff>
    </xdr:from>
    <xdr:to>
      <xdr:col>15</xdr:col>
      <xdr:colOff>400049</xdr:colOff>
      <xdr:row>7</xdr:row>
      <xdr:rowOff>85620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542" y="504320"/>
          <a:ext cx="1656107" cy="1191025"/>
        </a:xfrm>
        <a:prstGeom prst="rect">
          <a:avLst/>
        </a:prstGeom>
      </xdr:spPr>
    </xdr:pic>
    <xdr:clientData/>
  </xdr:twoCellAnchor>
  <xdr:twoCellAnchor editAs="oneCell">
    <xdr:from>
      <xdr:col>13</xdr:col>
      <xdr:colOff>527701</xdr:colOff>
      <xdr:row>6</xdr:row>
      <xdr:rowOff>3404</xdr:rowOff>
    </xdr:from>
    <xdr:to>
      <xdr:col>15</xdr:col>
      <xdr:colOff>495300</xdr:colOff>
      <xdr:row>12</xdr:row>
      <xdr:rowOff>131589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8026" y="1413104"/>
          <a:ext cx="1786874" cy="1290235"/>
        </a:xfrm>
        <a:prstGeom prst="rect">
          <a:avLst/>
        </a:prstGeom>
      </xdr:spPr>
    </xdr:pic>
    <xdr:clientData/>
  </xdr:twoCellAnchor>
  <xdr:twoCellAnchor editAs="oneCell">
    <xdr:from>
      <xdr:col>13</xdr:col>
      <xdr:colOff>546654</xdr:colOff>
      <xdr:row>11</xdr:row>
      <xdr:rowOff>103298</xdr:rowOff>
    </xdr:from>
    <xdr:to>
      <xdr:col>15</xdr:col>
      <xdr:colOff>315982</xdr:colOff>
      <xdr:row>17</xdr:row>
      <xdr:rowOff>88521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2241" y="2372733"/>
          <a:ext cx="1598542" cy="1144788"/>
        </a:xfrm>
        <a:prstGeom prst="rect">
          <a:avLst/>
        </a:prstGeom>
      </xdr:spPr>
    </xdr:pic>
    <xdr:clientData/>
  </xdr:twoCellAnchor>
  <xdr:twoCellAnchor editAs="oneCell">
    <xdr:from>
      <xdr:col>2</xdr:col>
      <xdr:colOff>124238</xdr:colOff>
      <xdr:row>85</xdr:row>
      <xdr:rowOff>13030</xdr:rowOff>
    </xdr:from>
    <xdr:to>
      <xdr:col>4</xdr:col>
      <xdr:colOff>331303</xdr:colOff>
      <xdr:row>86</xdr:row>
      <xdr:rowOff>132520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5955" y="17679834"/>
          <a:ext cx="1341783" cy="1237643"/>
        </a:xfrm>
        <a:prstGeom prst="rect">
          <a:avLst/>
        </a:prstGeom>
      </xdr:spPr>
    </xdr:pic>
    <xdr:clientData/>
  </xdr:twoCellAnchor>
  <xdr:twoCellAnchor editAs="oneCell">
    <xdr:from>
      <xdr:col>2</xdr:col>
      <xdr:colOff>47288</xdr:colOff>
      <xdr:row>86</xdr:row>
      <xdr:rowOff>44499</xdr:rowOff>
    </xdr:from>
    <xdr:to>
      <xdr:col>4</xdr:col>
      <xdr:colOff>414129</xdr:colOff>
      <xdr:row>87</xdr:row>
      <xdr:rowOff>61429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005" y="18829456"/>
          <a:ext cx="1501559" cy="12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57979</xdr:colOff>
      <xdr:row>60</xdr:row>
      <xdr:rowOff>79579</xdr:rowOff>
    </xdr:from>
    <xdr:to>
      <xdr:col>3</xdr:col>
      <xdr:colOff>607878</xdr:colOff>
      <xdr:row>66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696" y="10929796"/>
          <a:ext cx="1063421" cy="1063421"/>
        </a:xfrm>
        <a:prstGeom prst="rect">
          <a:avLst/>
        </a:prstGeom>
      </xdr:spPr>
    </xdr:pic>
    <xdr:clientData/>
  </xdr:twoCellAnchor>
  <xdr:twoCellAnchor editAs="oneCell">
    <xdr:from>
      <xdr:col>2</xdr:col>
      <xdr:colOff>16564</xdr:colOff>
      <xdr:row>65</xdr:row>
      <xdr:rowOff>186745</xdr:rowOff>
    </xdr:from>
    <xdr:to>
      <xdr:col>5</xdr:col>
      <xdr:colOff>364435</xdr:colOff>
      <xdr:row>74</xdr:row>
      <xdr:rowOff>9937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281" y="11989462"/>
          <a:ext cx="1938132" cy="1537692"/>
        </a:xfrm>
        <a:prstGeom prst="rect">
          <a:avLst/>
        </a:prstGeom>
      </xdr:spPr>
    </xdr:pic>
    <xdr:clientData/>
  </xdr:twoCellAnchor>
  <xdr:twoCellAnchor editAs="oneCell">
    <xdr:from>
      <xdr:col>2</xdr:col>
      <xdr:colOff>223631</xdr:colOff>
      <xdr:row>104</xdr:row>
      <xdr:rowOff>19877</xdr:rowOff>
    </xdr:from>
    <xdr:to>
      <xdr:col>5</xdr:col>
      <xdr:colOff>240196</xdr:colOff>
      <xdr:row>112</xdr:row>
      <xdr:rowOff>102703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348" y="22457464"/>
          <a:ext cx="1606826" cy="1606826"/>
        </a:xfrm>
        <a:prstGeom prst="rect">
          <a:avLst/>
        </a:prstGeom>
      </xdr:spPr>
    </xdr:pic>
    <xdr:clientData/>
  </xdr:twoCellAnchor>
  <xdr:twoCellAnchor editAs="oneCell">
    <xdr:from>
      <xdr:col>7</xdr:col>
      <xdr:colOff>8280</xdr:colOff>
      <xdr:row>123</xdr:row>
      <xdr:rowOff>184991</xdr:rowOff>
    </xdr:from>
    <xdr:to>
      <xdr:col>9</xdr:col>
      <xdr:colOff>510428</xdr:colOff>
      <xdr:row>131</xdr:row>
      <xdr:rowOff>41412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389" y="26242078"/>
          <a:ext cx="1727974" cy="1380421"/>
        </a:xfrm>
        <a:prstGeom prst="rect">
          <a:avLst/>
        </a:prstGeom>
      </xdr:spPr>
    </xdr:pic>
    <xdr:clientData/>
  </xdr:twoCellAnchor>
  <xdr:twoCellAnchor editAs="oneCell">
    <xdr:from>
      <xdr:col>7</xdr:col>
      <xdr:colOff>82827</xdr:colOff>
      <xdr:row>118</xdr:row>
      <xdr:rowOff>6864</xdr:rowOff>
    </xdr:from>
    <xdr:to>
      <xdr:col>9</xdr:col>
      <xdr:colOff>397565</xdr:colOff>
      <xdr:row>125</xdr:row>
      <xdr:rowOff>23191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936" y="25890016"/>
          <a:ext cx="1540564" cy="134982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88</xdr:row>
      <xdr:rowOff>184289</xdr:rowOff>
    </xdr:from>
    <xdr:to>
      <xdr:col>5</xdr:col>
      <xdr:colOff>526347</xdr:colOff>
      <xdr:row>94</xdr:row>
      <xdr:rowOff>165653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219" y="39957376"/>
          <a:ext cx="1926106" cy="1124364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78</xdr:row>
      <xdr:rowOff>151057</xdr:rowOff>
    </xdr:from>
    <xdr:to>
      <xdr:col>4</xdr:col>
      <xdr:colOff>115956</xdr:colOff>
      <xdr:row>81</xdr:row>
      <xdr:rowOff>152458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261" y="15208840"/>
          <a:ext cx="1176130" cy="1111270"/>
        </a:xfrm>
        <a:prstGeom prst="rect">
          <a:avLst/>
        </a:prstGeom>
      </xdr:spPr>
    </xdr:pic>
    <xdr:clientData/>
  </xdr:twoCellAnchor>
  <xdr:twoCellAnchor editAs="oneCell">
    <xdr:from>
      <xdr:col>2</xdr:col>
      <xdr:colOff>41413</xdr:colOff>
      <xdr:row>36</xdr:row>
      <xdr:rowOff>24845</xdr:rowOff>
    </xdr:from>
    <xdr:to>
      <xdr:col>4</xdr:col>
      <xdr:colOff>289891</xdr:colOff>
      <xdr:row>41</xdr:row>
      <xdr:rowOff>178902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30" y="7081628"/>
          <a:ext cx="1383196" cy="1106557"/>
        </a:xfrm>
        <a:prstGeom prst="rect">
          <a:avLst/>
        </a:prstGeom>
      </xdr:spPr>
    </xdr:pic>
    <xdr:clientData/>
  </xdr:twoCellAnchor>
  <xdr:twoCellAnchor editAs="oneCell">
    <xdr:from>
      <xdr:col>14</xdr:col>
      <xdr:colOff>31886</xdr:colOff>
      <xdr:row>17</xdr:row>
      <xdr:rowOff>130642</xdr:rowOff>
    </xdr:from>
    <xdr:to>
      <xdr:col>15</xdr:col>
      <xdr:colOff>769048</xdr:colOff>
      <xdr:row>22</xdr:row>
      <xdr:rowOff>719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1811" y="3559642"/>
          <a:ext cx="1935335" cy="8218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86265</xdr:colOff>
      <xdr:row>1</xdr:row>
      <xdr:rowOff>69011</xdr:rowOff>
    </xdr:from>
    <xdr:to>
      <xdr:col>9</xdr:col>
      <xdr:colOff>531968</xdr:colOff>
      <xdr:row>14</xdr:row>
      <xdr:rowOff>126526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7C77193-2B37-4942-9ABD-718069366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748" y="767751"/>
          <a:ext cx="2438405" cy="2438405"/>
        </a:xfrm>
        <a:prstGeom prst="rect">
          <a:avLst/>
        </a:prstGeom>
      </xdr:spPr>
    </xdr:pic>
    <xdr:clientData/>
  </xdr:twoCellAnchor>
  <xdr:twoCellAnchor editAs="oneCell">
    <xdr:from>
      <xdr:col>7</xdr:col>
      <xdr:colOff>258793</xdr:colOff>
      <xdr:row>61</xdr:row>
      <xdr:rowOff>77637</xdr:rowOff>
    </xdr:from>
    <xdr:to>
      <xdr:col>9</xdr:col>
      <xdr:colOff>704496</xdr:colOff>
      <xdr:row>74</xdr:row>
      <xdr:rowOff>135151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6204660-21A7-4441-B1C8-74F41A48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276" y="11714671"/>
          <a:ext cx="2438405" cy="2438405"/>
        </a:xfrm>
        <a:prstGeom prst="rect">
          <a:avLst/>
        </a:prstGeom>
      </xdr:spPr>
    </xdr:pic>
    <xdr:clientData/>
  </xdr:twoCellAnchor>
  <xdr:twoCellAnchor editAs="oneCell">
    <xdr:from>
      <xdr:col>7</xdr:col>
      <xdr:colOff>103516</xdr:colOff>
      <xdr:row>121</xdr:row>
      <xdr:rowOff>77639</xdr:rowOff>
    </xdr:from>
    <xdr:to>
      <xdr:col>9</xdr:col>
      <xdr:colOff>549219</xdr:colOff>
      <xdr:row>134</xdr:row>
      <xdr:rowOff>135153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DD651DD-FDB0-4A69-934A-32AAD951E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999" y="22756484"/>
          <a:ext cx="2438405" cy="2438405"/>
        </a:xfrm>
        <a:prstGeom prst="rect">
          <a:avLst/>
        </a:prstGeom>
      </xdr:spPr>
    </xdr:pic>
    <xdr:clientData/>
  </xdr:twoCellAnchor>
  <xdr:twoCellAnchor editAs="oneCell">
    <xdr:from>
      <xdr:col>7</xdr:col>
      <xdr:colOff>94890</xdr:colOff>
      <xdr:row>181</xdr:row>
      <xdr:rowOff>181154</xdr:rowOff>
    </xdr:from>
    <xdr:to>
      <xdr:col>9</xdr:col>
      <xdr:colOff>540593</xdr:colOff>
      <xdr:row>195</xdr:row>
      <xdr:rowOff>57514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E9B3386-D7CB-4EBE-BD9B-13854DFDD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5373" y="33798294"/>
          <a:ext cx="2438405" cy="243840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43131</xdr:colOff>
      <xdr:row>2</xdr:row>
      <xdr:rowOff>77638</xdr:rowOff>
    </xdr:from>
    <xdr:to>
      <xdr:col>10</xdr:col>
      <xdr:colOff>143778</xdr:colOff>
      <xdr:row>15</xdr:row>
      <xdr:rowOff>161031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B79ED4C-A10E-43F9-AE06-441D0981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271" y="957532"/>
          <a:ext cx="2438405" cy="2438405"/>
        </a:xfrm>
        <a:prstGeom prst="rect">
          <a:avLst/>
        </a:prstGeom>
      </xdr:spPr>
    </xdr:pic>
    <xdr:clientData/>
  </xdr:twoCellAnchor>
  <xdr:twoCellAnchor editAs="oneCell">
    <xdr:from>
      <xdr:col>7</xdr:col>
      <xdr:colOff>1207698</xdr:colOff>
      <xdr:row>31</xdr:row>
      <xdr:rowOff>129396</xdr:rowOff>
    </xdr:from>
    <xdr:to>
      <xdr:col>10</xdr:col>
      <xdr:colOff>92020</xdr:colOff>
      <xdr:row>45</xdr:row>
      <xdr:rowOff>5756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BD56519-CE47-4ADC-BEE4-57C29DFE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513" y="6271404"/>
          <a:ext cx="2438405" cy="2438405"/>
        </a:xfrm>
        <a:prstGeom prst="rect">
          <a:avLst/>
        </a:prstGeom>
      </xdr:spPr>
    </xdr:pic>
    <xdr:clientData/>
  </xdr:twoCellAnchor>
  <xdr:twoCellAnchor editAs="oneCell">
    <xdr:from>
      <xdr:col>8</xdr:col>
      <xdr:colOff>25881</xdr:colOff>
      <xdr:row>62</xdr:row>
      <xdr:rowOff>51758</xdr:rowOff>
    </xdr:from>
    <xdr:to>
      <xdr:col>10</xdr:col>
      <xdr:colOff>126528</xdr:colOff>
      <xdr:row>75</xdr:row>
      <xdr:rowOff>126526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17281A3-EF97-4EA4-B19C-49E579F71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7021" y="11869947"/>
          <a:ext cx="2438405" cy="2438405"/>
        </a:xfrm>
        <a:prstGeom prst="rect">
          <a:avLst/>
        </a:prstGeom>
      </xdr:spPr>
    </xdr:pic>
    <xdr:clientData/>
  </xdr:twoCellAnchor>
  <xdr:twoCellAnchor editAs="oneCell">
    <xdr:from>
      <xdr:col>8</xdr:col>
      <xdr:colOff>25879</xdr:colOff>
      <xdr:row>92</xdr:row>
      <xdr:rowOff>0</xdr:rowOff>
    </xdr:from>
    <xdr:to>
      <xdr:col>10</xdr:col>
      <xdr:colOff>126526</xdr:colOff>
      <xdr:row>105</xdr:row>
      <xdr:rowOff>83393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F93BA75-63ED-4652-88B0-7135D50D6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7019" y="17295962"/>
          <a:ext cx="2438405" cy="24384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267419</xdr:colOff>
      <xdr:row>1</xdr:row>
      <xdr:rowOff>181156</xdr:rowOff>
    </xdr:from>
    <xdr:to>
      <xdr:col>10</xdr:col>
      <xdr:colOff>773507</xdr:colOff>
      <xdr:row>15</xdr:row>
      <xdr:rowOff>57516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F480E29-006E-4D15-BA52-6C7396917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9985" y="828137"/>
          <a:ext cx="2438405" cy="2438405"/>
        </a:xfrm>
        <a:prstGeom prst="rect">
          <a:avLst/>
        </a:prstGeom>
      </xdr:spPr>
    </xdr:pic>
    <xdr:clientData/>
  </xdr:twoCellAnchor>
  <xdr:twoCellAnchor editAs="oneCell">
    <xdr:from>
      <xdr:col>8</xdr:col>
      <xdr:colOff>258793</xdr:colOff>
      <xdr:row>19</xdr:row>
      <xdr:rowOff>155276</xdr:rowOff>
    </xdr:from>
    <xdr:to>
      <xdr:col>10</xdr:col>
      <xdr:colOff>764881</xdr:colOff>
      <xdr:row>33</xdr:row>
      <xdr:rowOff>31636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A0E1626-BBF4-41FE-A3CD-86D730D90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1359" y="4097548"/>
          <a:ext cx="2438405" cy="2438405"/>
        </a:xfrm>
        <a:prstGeom prst="rect">
          <a:avLst/>
        </a:prstGeom>
      </xdr:spPr>
    </xdr:pic>
    <xdr:clientData/>
  </xdr:twoCellAnchor>
  <xdr:twoCellAnchor editAs="oneCell">
    <xdr:from>
      <xdr:col>8</xdr:col>
      <xdr:colOff>284673</xdr:colOff>
      <xdr:row>36</xdr:row>
      <xdr:rowOff>94890</xdr:rowOff>
    </xdr:from>
    <xdr:to>
      <xdr:col>10</xdr:col>
      <xdr:colOff>790761</xdr:colOff>
      <xdr:row>49</xdr:row>
      <xdr:rowOff>178284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9BA978F-1DB6-436F-BE16-3362E49B5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7239" y="7177177"/>
          <a:ext cx="2438405" cy="2438405"/>
        </a:xfrm>
        <a:prstGeom prst="rect">
          <a:avLst/>
        </a:prstGeom>
      </xdr:spPr>
    </xdr:pic>
    <xdr:clientData/>
  </xdr:twoCellAnchor>
  <xdr:twoCellAnchor editAs="oneCell">
    <xdr:from>
      <xdr:col>8</xdr:col>
      <xdr:colOff>267418</xdr:colOff>
      <xdr:row>54</xdr:row>
      <xdr:rowOff>94891</xdr:rowOff>
    </xdr:from>
    <xdr:to>
      <xdr:col>10</xdr:col>
      <xdr:colOff>773506</xdr:colOff>
      <xdr:row>67</xdr:row>
      <xdr:rowOff>178284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ADF3617-EF37-4EBC-8BE1-79DE3274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9984" y="10472468"/>
          <a:ext cx="2438405" cy="243840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1110113</xdr:colOff>
      <xdr:row>4</xdr:row>
      <xdr:rowOff>75782</xdr:rowOff>
    </xdr:from>
    <xdr:to>
      <xdr:col>8</xdr:col>
      <xdr:colOff>296130</xdr:colOff>
      <xdr:row>4</xdr:row>
      <xdr:rowOff>950701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1034" y="4388990"/>
          <a:ext cx="1118334" cy="874919"/>
        </a:xfrm>
        <a:prstGeom prst="rect">
          <a:avLst/>
        </a:prstGeom>
      </xdr:spPr>
    </xdr:pic>
    <xdr:clientData/>
  </xdr:twoCellAnchor>
  <xdr:twoCellAnchor editAs="oneCell">
    <xdr:from>
      <xdr:col>6</xdr:col>
      <xdr:colOff>69011</xdr:colOff>
      <xdr:row>4</xdr:row>
      <xdr:rowOff>38099</xdr:rowOff>
    </xdr:from>
    <xdr:to>
      <xdr:col>6</xdr:col>
      <xdr:colOff>951421</xdr:colOff>
      <xdr:row>4</xdr:row>
      <xdr:rowOff>953179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9932" y="4351307"/>
          <a:ext cx="882410" cy="915080"/>
        </a:xfrm>
        <a:prstGeom prst="rect">
          <a:avLst/>
        </a:prstGeom>
      </xdr:spPr>
    </xdr:pic>
    <xdr:clientData/>
  </xdr:twoCellAnchor>
  <xdr:twoCellAnchor editAs="oneCell">
    <xdr:from>
      <xdr:col>6</xdr:col>
      <xdr:colOff>77638</xdr:colOff>
      <xdr:row>5</xdr:row>
      <xdr:rowOff>74403</xdr:rowOff>
    </xdr:from>
    <xdr:to>
      <xdr:col>7</xdr:col>
      <xdr:colOff>58408</xdr:colOff>
      <xdr:row>5</xdr:row>
      <xdr:rowOff>1025843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8559" y="5396901"/>
          <a:ext cx="1291985" cy="951440"/>
        </a:xfrm>
        <a:prstGeom prst="rect">
          <a:avLst/>
        </a:prstGeom>
      </xdr:spPr>
    </xdr:pic>
    <xdr:clientData/>
  </xdr:twoCellAnchor>
  <xdr:twoCellAnchor editAs="oneCell">
    <xdr:from>
      <xdr:col>7</xdr:col>
      <xdr:colOff>142695</xdr:colOff>
      <xdr:row>5</xdr:row>
      <xdr:rowOff>10424</xdr:rowOff>
    </xdr:from>
    <xdr:to>
      <xdr:col>8</xdr:col>
      <xdr:colOff>445901</xdr:colOff>
      <xdr:row>5</xdr:row>
      <xdr:rowOff>1020074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4831" y="5332922"/>
          <a:ext cx="924308" cy="1009650"/>
        </a:xfrm>
        <a:prstGeom prst="rect">
          <a:avLst/>
        </a:prstGeom>
      </xdr:spPr>
    </xdr:pic>
    <xdr:clientData/>
  </xdr:twoCellAnchor>
  <xdr:twoCellAnchor editAs="oneCell">
    <xdr:from>
      <xdr:col>7</xdr:col>
      <xdr:colOff>433902</xdr:colOff>
      <xdr:row>6</xdr:row>
      <xdr:rowOff>26777</xdr:rowOff>
    </xdr:from>
    <xdr:to>
      <xdr:col>8</xdr:col>
      <xdr:colOff>993295</xdr:colOff>
      <xdr:row>6</xdr:row>
      <xdr:rowOff>1097146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38" y="6384445"/>
          <a:ext cx="1180495" cy="1070369"/>
        </a:xfrm>
        <a:prstGeom prst="rect">
          <a:avLst/>
        </a:prstGeom>
      </xdr:spPr>
    </xdr:pic>
    <xdr:clientData/>
  </xdr:twoCellAnchor>
  <xdr:twoCellAnchor editAs="oneCell">
    <xdr:from>
      <xdr:col>6</xdr:col>
      <xdr:colOff>43132</xdr:colOff>
      <xdr:row>6</xdr:row>
      <xdr:rowOff>28430</xdr:rowOff>
    </xdr:from>
    <xdr:to>
      <xdr:col>7</xdr:col>
      <xdr:colOff>347753</xdr:colOff>
      <xdr:row>6</xdr:row>
      <xdr:rowOff>1026157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4053" y="6386098"/>
          <a:ext cx="1615836" cy="997727"/>
        </a:xfrm>
        <a:prstGeom prst="rect">
          <a:avLst/>
        </a:prstGeom>
      </xdr:spPr>
    </xdr:pic>
    <xdr:clientData/>
  </xdr:twoCellAnchor>
  <xdr:twoCellAnchor editAs="oneCell">
    <xdr:from>
      <xdr:col>8</xdr:col>
      <xdr:colOff>145570</xdr:colOff>
      <xdr:row>7</xdr:row>
      <xdr:rowOff>49139</xdr:rowOff>
    </xdr:from>
    <xdr:to>
      <xdr:col>8</xdr:col>
      <xdr:colOff>1520119</xdr:colOff>
      <xdr:row>7</xdr:row>
      <xdr:rowOff>1045953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8808" y="7519614"/>
          <a:ext cx="1374549" cy="996814"/>
        </a:xfrm>
        <a:prstGeom prst="rect">
          <a:avLst/>
        </a:prstGeom>
      </xdr:spPr>
    </xdr:pic>
    <xdr:clientData/>
  </xdr:twoCellAnchor>
  <xdr:twoCellAnchor editAs="oneCell">
    <xdr:from>
      <xdr:col>6</xdr:col>
      <xdr:colOff>69011</xdr:colOff>
      <xdr:row>7</xdr:row>
      <xdr:rowOff>19050</xdr:rowOff>
    </xdr:from>
    <xdr:to>
      <xdr:col>7</xdr:col>
      <xdr:colOff>616042</xdr:colOff>
      <xdr:row>8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9932" y="7489525"/>
          <a:ext cx="1858246" cy="1042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43132</xdr:colOff>
      <xdr:row>8</xdr:row>
      <xdr:rowOff>16815</xdr:rowOff>
    </xdr:from>
    <xdr:to>
      <xdr:col>8</xdr:col>
      <xdr:colOff>687418</xdr:colOff>
      <xdr:row>9</xdr:row>
      <xdr:rowOff>8302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4053" y="8548340"/>
          <a:ext cx="2576603" cy="1190558"/>
        </a:xfrm>
        <a:prstGeom prst="rect">
          <a:avLst/>
        </a:prstGeom>
      </xdr:spPr>
    </xdr:pic>
    <xdr:clientData/>
  </xdr:twoCellAnchor>
  <xdr:twoCellAnchor editAs="oneCell">
    <xdr:from>
      <xdr:col>8</xdr:col>
      <xdr:colOff>700896</xdr:colOff>
      <xdr:row>8</xdr:row>
      <xdr:rowOff>35405</xdr:rowOff>
    </xdr:from>
    <xdr:to>
      <xdr:col>10</xdr:col>
      <xdr:colOff>122208</xdr:colOff>
      <xdr:row>9</xdr:row>
      <xdr:rowOff>19350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4134" y="8566930"/>
          <a:ext cx="1655553" cy="1183016"/>
        </a:xfrm>
        <a:prstGeom prst="rect">
          <a:avLst/>
        </a:prstGeom>
      </xdr:spPr>
    </xdr:pic>
    <xdr:clientData/>
  </xdr:twoCellAnchor>
  <xdr:twoCellAnchor editAs="oneCell">
    <xdr:from>
      <xdr:col>7</xdr:col>
      <xdr:colOff>199667</xdr:colOff>
      <xdr:row>9</xdr:row>
      <xdr:rowOff>10425</xdr:rowOff>
    </xdr:from>
    <xdr:to>
      <xdr:col>8</xdr:col>
      <xdr:colOff>649622</xdr:colOff>
      <xdr:row>9</xdr:row>
      <xdr:rowOff>1439175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1803" y="9741021"/>
          <a:ext cx="1071057" cy="1428750"/>
        </a:xfrm>
        <a:prstGeom prst="rect">
          <a:avLst/>
        </a:prstGeom>
      </xdr:spPr>
    </xdr:pic>
    <xdr:clientData/>
  </xdr:twoCellAnchor>
  <xdr:twoCellAnchor editAs="oneCell">
    <xdr:from>
      <xdr:col>6</xdr:col>
      <xdr:colOff>69011</xdr:colOff>
      <xdr:row>9</xdr:row>
      <xdr:rowOff>47297</xdr:rowOff>
    </xdr:from>
    <xdr:to>
      <xdr:col>7</xdr:col>
      <xdr:colOff>145031</xdr:colOff>
      <xdr:row>9</xdr:row>
      <xdr:rowOff>1432798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9932" y="9777893"/>
          <a:ext cx="1387235" cy="1385501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142877</xdr:colOff>
      <xdr:row>10</xdr:row>
      <xdr:rowOff>28575</xdr:rowOff>
    </xdr:from>
    <xdr:to>
      <xdr:col>6</xdr:col>
      <xdr:colOff>1177684</xdr:colOff>
      <xdr:row>10</xdr:row>
      <xdr:rowOff>1322468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7" y="8191500"/>
          <a:ext cx="1152524" cy="1293893"/>
        </a:xfrm>
        <a:prstGeom prst="rect">
          <a:avLst/>
        </a:prstGeom>
      </xdr:spPr>
    </xdr:pic>
    <xdr:clientData/>
  </xdr:twoCellAnchor>
  <xdr:twoCellAnchor editAs="oneCell">
    <xdr:from>
      <xdr:col>6</xdr:col>
      <xdr:colOff>1292243</xdr:colOff>
      <xdr:row>10</xdr:row>
      <xdr:rowOff>901</xdr:rowOff>
    </xdr:from>
    <xdr:to>
      <xdr:col>8</xdr:col>
      <xdr:colOff>329959</xdr:colOff>
      <xdr:row>10</xdr:row>
      <xdr:rowOff>1496325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953164" y="11206614"/>
          <a:ext cx="970033" cy="1495424"/>
        </a:xfrm>
        <a:prstGeom prst="rect">
          <a:avLst/>
        </a:prstGeom>
      </xdr:spPr>
    </xdr:pic>
    <xdr:clientData/>
  </xdr:twoCellAnchor>
  <xdr:twoCellAnchor editAs="oneCell">
    <xdr:from>
      <xdr:col>6</xdr:col>
      <xdr:colOff>51759</xdr:colOff>
      <xdr:row>11</xdr:row>
      <xdr:rowOff>9525</xdr:rowOff>
    </xdr:from>
    <xdr:to>
      <xdr:col>6</xdr:col>
      <xdr:colOff>1258018</xdr:colOff>
      <xdr:row>12</xdr:row>
      <xdr:rowOff>3497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2680" y="12733487"/>
          <a:ext cx="1206259" cy="1469089"/>
        </a:xfrm>
        <a:prstGeom prst="rect">
          <a:avLst/>
        </a:prstGeom>
      </xdr:spPr>
    </xdr:pic>
    <xdr:clientData/>
  </xdr:twoCellAnchor>
  <xdr:twoCellAnchor editAs="oneCell">
    <xdr:from>
      <xdr:col>6</xdr:col>
      <xdr:colOff>1236634</xdr:colOff>
      <xdr:row>11</xdr:row>
      <xdr:rowOff>26778</xdr:rowOff>
    </xdr:from>
    <xdr:to>
      <xdr:col>8</xdr:col>
      <xdr:colOff>355114</xdr:colOff>
      <xdr:row>11</xdr:row>
      <xdr:rowOff>1455528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7555" y="12750740"/>
          <a:ext cx="1050797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450190</xdr:colOff>
      <xdr:row>11</xdr:row>
      <xdr:rowOff>1470077</xdr:rowOff>
    </xdr:from>
    <xdr:to>
      <xdr:col>8</xdr:col>
      <xdr:colOff>1275631</xdr:colOff>
      <xdr:row>12</xdr:row>
      <xdr:rowOff>1421022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2326" y="14194039"/>
          <a:ext cx="1446543" cy="1426062"/>
        </a:xfrm>
        <a:prstGeom prst="rect">
          <a:avLst/>
        </a:prstGeom>
      </xdr:spPr>
    </xdr:pic>
    <xdr:clientData/>
  </xdr:twoCellAnchor>
  <xdr:twoCellAnchor editAs="oneCell">
    <xdr:from>
      <xdr:col>6</xdr:col>
      <xdr:colOff>112143</xdr:colOff>
      <xdr:row>12</xdr:row>
      <xdr:rowOff>900</xdr:rowOff>
    </xdr:from>
    <xdr:to>
      <xdr:col>7</xdr:col>
      <xdr:colOff>326534</xdr:colOff>
      <xdr:row>12</xdr:row>
      <xdr:rowOff>1448699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3064" y="14199979"/>
          <a:ext cx="1525606" cy="1447799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13</xdr:row>
      <xdr:rowOff>38100</xdr:rowOff>
    </xdr:from>
    <xdr:to>
      <xdr:col>6</xdr:col>
      <xdr:colOff>1308337</xdr:colOff>
      <xdr:row>13</xdr:row>
      <xdr:rowOff>1343025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12668250"/>
          <a:ext cx="1283177" cy="130492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13</xdr:row>
      <xdr:rowOff>19050</xdr:rowOff>
    </xdr:from>
    <xdr:to>
      <xdr:col>8</xdr:col>
      <xdr:colOff>846629</xdr:colOff>
      <xdr:row>13</xdr:row>
      <xdr:rowOff>1371600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6" y="12649200"/>
          <a:ext cx="1380028" cy="1352550"/>
        </a:xfrm>
        <a:prstGeom prst="rect">
          <a:avLst/>
        </a:prstGeom>
      </xdr:spPr>
    </xdr:pic>
    <xdr:clientData/>
  </xdr:twoCellAnchor>
  <xdr:twoCellAnchor editAs="oneCell">
    <xdr:from>
      <xdr:col>7</xdr:col>
      <xdr:colOff>313248</xdr:colOff>
      <xdr:row>14</xdr:row>
      <xdr:rowOff>7024</xdr:rowOff>
    </xdr:from>
    <xdr:to>
      <xdr:col>8</xdr:col>
      <xdr:colOff>1243462</xdr:colOff>
      <xdr:row>14</xdr:row>
      <xdr:rowOff>1363044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5384" y="17087326"/>
          <a:ext cx="1551316" cy="1356020"/>
        </a:xfrm>
        <a:prstGeom prst="rect">
          <a:avLst/>
        </a:prstGeom>
      </xdr:spPr>
    </xdr:pic>
    <xdr:clientData/>
  </xdr:twoCellAnchor>
  <xdr:twoCellAnchor editAs="oneCell">
    <xdr:from>
      <xdr:col>6</xdr:col>
      <xdr:colOff>163902</xdr:colOff>
      <xdr:row>14</xdr:row>
      <xdr:rowOff>3594</xdr:rowOff>
    </xdr:from>
    <xdr:to>
      <xdr:col>7</xdr:col>
      <xdr:colOff>144672</xdr:colOff>
      <xdr:row>14</xdr:row>
      <xdr:rowOff>1346050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4823" y="17083896"/>
          <a:ext cx="1291985" cy="134245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16</xdr:row>
      <xdr:rowOff>24410</xdr:rowOff>
    </xdr:from>
    <xdr:to>
      <xdr:col>6</xdr:col>
      <xdr:colOff>1282460</xdr:colOff>
      <xdr:row>16</xdr:row>
      <xdr:rowOff>1370810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17207510"/>
          <a:ext cx="1257300" cy="1346400"/>
        </a:xfrm>
        <a:prstGeom prst="rect">
          <a:avLst/>
        </a:prstGeom>
      </xdr:spPr>
    </xdr:pic>
    <xdr:clientData/>
  </xdr:twoCellAnchor>
  <xdr:twoCellAnchor editAs="oneCell">
    <xdr:from>
      <xdr:col>7</xdr:col>
      <xdr:colOff>116997</xdr:colOff>
      <xdr:row>16</xdr:row>
      <xdr:rowOff>71706</xdr:rowOff>
    </xdr:from>
    <xdr:to>
      <xdr:col>8</xdr:col>
      <xdr:colOff>1111180</xdr:colOff>
      <xdr:row>16</xdr:row>
      <xdr:rowOff>1367107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9133" y="20041857"/>
          <a:ext cx="1615285" cy="1295401"/>
        </a:xfrm>
        <a:prstGeom prst="rect">
          <a:avLst/>
        </a:prstGeom>
      </xdr:spPr>
    </xdr:pic>
    <xdr:clientData/>
  </xdr:twoCellAnchor>
  <xdr:twoCellAnchor editAs="oneCell">
    <xdr:from>
      <xdr:col>6</xdr:col>
      <xdr:colOff>120770</xdr:colOff>
      <xdr:row>15</xdr:row>
      <xdr:rowOff>62182</xdr:rowOff>
    </xdr:from>
    <xdr:to>
      <xdr:col>6</xdr:col>
      <xdr:colOff>1223711</xdr:colOff>
      <xdr:row>15</xdr:row>
      <xdr:rowOff>1490932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1691" y="18522710"/>
          <a:ext cx="1102941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147907</xdr:colOff>
      <xdr:row>15</xdr:row>
      <xdr:rowOff>85725</xdr:rowOff>
    </xdr:from>
    <xdr:to>
      <xdr:col>8</xdr:col>
      <xdr:colOff>1218338</xdr:colOff>
      <xdr:row>15</xdr:row>
      <xdr:rowOff>1438274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0043" y="18546253"/>
          <a:ext cx="1691533" cy="1352549"/>
        </a:xfrm>
        <a:prstGeom prst="rect">
          <a:avLst/>
        </a:prstGeom>
      </xdr:spPr>
    </xdr:pic>
    <xdr:clientData/>
  </xdr:twoCellAnchor>
  <xdr:twoCellAnchor editAs="oneCell">
    <xdr:from>
      <xdr:col>6</xdr:col>
      <xdr:colOff>94890</xdr:colOff>
      <xdr:row>17</xdr:row>
      <xdr:rowOff>56250</xdr:rowOff>
    </xdr:from>
    <xdr:to>
      <xdr:col>7</xdr:col>
      <xdr:colOff>418935</xdr:colOff>
      <xdr:row>17</xdr:row>
      <xdr:rowOff>1380226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5811" y="21406627"/>
          <a:ext cx="1635260" cy="1323976"/>
        </a:xfrm>
        <a:prstGeom prst="rect">
          <a:avLst/>
        </a:prstGeom>
      </xdr:spPr>
    </xdr:pic>
    <xdr:clientData/>
  </xdr:twoCellAnchor>
  <xdr:twoCellAnchor editAs="oneCell">
    <xdr:from>
      <xdr:col>7</xdr:col>
      <xdr:colOff>501950</xdr:colOff>
      <xdr:row>16</xdr:row>
      <xdr:rowOff>1372500</xdr:rowOff>
    </xdr:from>
    <xdr:to>
      <xdr:col>8</xdr:col>
      <xdr:colOff>851140</xdr:colOff>
      <xdr:row>17</xdr:row>
      <xdr:rowOff>1359162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4086" y="21342651"/>
          <a:ext cx="970292" cy="1366888"/>
        </a:xfrm>
        <a:prstGeom prst="rect">
          <a:avLst/>
        </a:prstGeom>
      </xdr:spPr>
    </xdr:pic>
    <xdr:clientData/>
  </xdr:twoCellAnchor>
  <xdr:twoCellAnchor editAs="oneCell">
    <xdr:from>
      <xdr:col>6</xdr:col>
      <xdr:colOff>163902</xdr:colOff>
      <xdr:row>18</xdr:row>
      <xdr:rowOff>11322</xdr:rowOff>
    </xdr:from>
    <xdr:to>
      <xdr:col>7</xdr:col>
      <xdr:colOff>354222</xdr:colOff>
      <xdr:row>18</xdr:row>
      <xdr:rowOff>1392639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4823" y="22750552"/>
          <a:ext cx="1501535" cy="1381317"/>
        </a:xfrm>
        <a:prstGeom prst="rect">
          <a:avLst/>
        </a:prstGeom>
      </xdr:spPr>
    </xdr:pic>
    <xdr:clientData/>
  </xdr:twoCellAnchor>
  <xdr:twoCellAnchor editAs="oneCell">
    <xdr:from>
      <xdr:col>7</xdr:col>
      <xdr:colOff>543464</xdr:colOff>
      <xdr:row>18</xdr:row>
      <xdr:rowOff>91656</xdr:rowOff>
    </xdr:from>
    <xdr:to>
      <xdr:col>8</xdr:col>
      <xdr:colOff>878174</xdr:colOff>
      <xdr:row>18</xdr:row>
      <xdr:rowOff>1387056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2830886"/>
          <a:ext cx="955812" cy="1295400"/>
        </a:xfrm>
        <a:prstGeom prst="rect">
          <a:avLst/>
        </a:prstGeom>
      </xdr:spPr>
    </xdr:pic>
    <xdr:clientData/>
  </xdr:twoCellAnchor>
  <xdr:twoCellAnchor editAs="oneCell">
    <xdr:from>
      <xdr:col>6</xdr:col>
      <xdr:colOff>43132</xdr:colOff>
      <xdr:row>19</xdr:row>
      <xdr:rowOff>36303</xdr:rowOff>
    </xdr:from>
    <xdr:to>
      <xdr:col>7</xdr:col>
      <xdr:colOff>374768</xdr:colOff>
      <xdr:row>19</xdr:row>
      <xdr:rowOff>1284078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4053" y="24207518"/>
          <a:ext cx="1642851" cy="1247775"/>
        </a:xfrm>
        <a:prstGeom prst="rect">
          <a:avLst/>
        </a:prstGeom>
      </xdr:spPr>
    </xdr:pic>
    <xdr:clientData/>
  </xdr:twoCellAnchor>
  <xdr:twoCellAnchor editAs="oneCell">
    <xdr:from>
      <xdr:col>7</xdr:col>
      <xdr:colOff>457021</xdr:colOff>
      <xdr:row>19</xdr:row>
      <xdr:rowOff>11322</xdr:rowOff>
    </xdr:from>
    <xdr:to>
      <xdr:col>8</xdr:col>
      <xdr:colOff>1299633</xdr:colOff>
      <xdr:row>19</xdr:row>
      <xdr:rowOff>1259097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157" y="24182537"/>
          <a:ext cx="1463714" cy="1247775"/>
        </a:xfrm>
        <a:prstGeom prst="rect">
          <a:avLst/>
        </a:prstGeom>
      </xdr:spPr>
    </xdr:pic>
    <xdr:clientData/>
  </xdr:twoCellAnchor>
  <xdr:twoCellAnchor editAs="oneCell">
    <xdr:from>
      <xdr:col>6</xdr:col>
      <xdr:colOff>138023</xdr:colOff>
      <xdr:row>20</xdr:row>
      <xdr:rowOff>46328</xdr:rowOff>
    </xdr:from>
    <xdr:to>
      <xdr:col>6</xdr:col>
      <xdr:colOff>1218296</xdr:colOff>
      <xdr:row>21</xdr:row>
      <xdr:rowOff>601392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8944" y="25502879"/>
          <a:ext cx="1080273" cy="1184792"/>
        </a:xfrm>
        <a:prstGeom prst="rect">
          <a:avLst/>
        </a:prstGeom>
      </xdr:spPr>
    </xdr:pic>
    <xdr:clientData/>
  </xdr:twoCellAnchor>
  <xdr:twoCellAnchor editAs="oneCell">
    <xdr:from>
      <xdr:col>6</xdr:col>
      <xdr:colOff>1310139</xdr:colOff>
      <xdr:row>20</xdr:row>
      <xdr:rowOff>39897</xdr:rowOff>
    </xdr:from>
    <xdr:to>
      <xdr:col>8</xdr:col>
      <xdr:colOff>155116</xdr:colOff>
      <xdr:row>21</xdr:row>
      <xdr:rowOff>582822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060" y="25496448"/>
          <a:ext cx="777294" cy="1172653"/>
        </a:xfrm>
        <a:prstGeom prst="rect">
          <a:avLst/>
        </a:prstGeom>
      </xdr:spPr>
    </xdr:pic>
    <xdr:clientData/>
  </xdr:twoCellAnchor>
  <xdr:twoCellAnchor editAs="oneCell">
    <xdr:from>
      <xdr:col>8</xdr:col>
      <xdr:colOff>291141</xdr:colOff>
      <xdr:row>20</xdr:row>
      <xdr:rowOff>36302</xdr:rowOff>
    </xdr:from>
    <xdr:to>
      <xdr:col>8</xdr:col>
      <xdr:colOff>1128930</xdr:colOff>
      <xdr:row>22</xdr:row>
      <xdr:rowOff>18433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4379" y="25492853"/>
          <a:ext cx="837789" cy="1241588"/>
        </a:xfrm>
        <a:prstGeom prst="rect">
          <a:avLst/>
        </a:prstGeom>
      </xdr:spPr>
    </xdr:pic>
    <xdr:clientData/>
  </xdr:twoCellAnchor>
  <xdr:twoCellAnchor editAs="oneCell">
    <xdr:from>
      <xdr:col>7</xdr:col>
      <xdr:colOff>403645</xdr:colOff>
      <xdr:row>22</xdr:row>
      <xdr:rowOff>35404</xdr:rowOff>
    </xdr:from>
    <xdr:to>
      <xdr:col>8</xdr:col>
      <xdr:colOff>746962</xdr:colOff>
      <xdr:row>23</xdr:row>
      <xdr:rowOff>9706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781" y="26751412"/>
          <a:ext cx="964419" cy="1190626"/>
        </a:xfrm>
        <a:prstGeom prst="rect">
          <a:avLst/>
        </a:prstGeom>
      </xdr:spPr>
    </xdr:pic>
    <xdr:clientData/>
  </xdr:twoCellAnchor>
  <xdr:twoCellAnchor editAs="oneCell">
    <xdr:from>
      <xdr:col>6</xdr:col>
      <xdr:colOff>198407</xdr:colOff>
      <xdr:row>22</xdr:row>
      <xdr:rowOff>29473</xdr:rowOff>
    </xdr:from>
    <xdr:to>
      <xdr:col>7</xdr:col>
      <xdr:colOff>132455</xdr:colOff>
      <xdr:row>22</xdr:row>
      <xdr:rowOff>1143898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9328" y="26745481"/>
          <a:ext cx="1245263" cy="1114425"/>
        </a:xfrm>
        <a:prstGeom prst="rect">
          <a:avLst/>
        </a:prstGeom>
      </xdr:spPr>
    </xdr:pic>
    <xdr:clientData/>
  </xdr:twoCellAnchor>
  <xdr:twoCellAnchor editAs="oneCell">
    <xdr:from>
      <xdr:col>6</xdr:col>
      <xdr:colOff>51759</xdr:colOff>
      <xdr:row>23</xdr:row>
      <xdr:rowOff>10422</xdr:rowOff>
    </xdr:from>
    <xdr:to>
      <xdr:col>7</xdr:col>
      <xdr:colOff>67387</xdr:colOff>
      <xdr:row>23</xdr:row>
      <xdr:rowOff>1210574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2680" y="27942754"/>
          <a:ext cx="1326843" cy="1200152"/>
        </a:xfrm>
        <a:prstGeom prst="rect">
          <a:avLst/>
        </a:prstGeom>
      </xdr:spPr>
    </xdr:pic>
    <xdr:clientData/>
  </xdr:twoCellAnchor>
  <xdr:twoCellAnchor editAs="oneCell">
    <xdr:from>
      <xdr:col>7</xdr:col>
      <xdr:colOff>225725</xdr:colOff>
      <xdr:row>23</xdr:row>
      <xdr:rowOff>44928</xdr:rowOff>
    </xdr:from>
    <xdr:to>
      <xdr:col>8</xdr:col>
      <xdr:colOff>872770</xdr:colOff>
      <xdr:row>23</xdr:row>
      <xdr:rowOff>1216503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7861" y="27977260"/>
          <a:ext cx="1268147" cy="1171575"/>
        </a:xfrm>
        <a:prstGeom prst="rect">
          <a:avLst/>
        </a:prstGeom>
      </xdr:spPr>
    </xdr:pic>
    <xdr:clientData/>
  </xdr:twoCellAnchor>
  <xdr:twoCellAnchor editAs="oneCell">
    <xdr:from>
      <xdr:col>6</xdr:col>
      <xdr:colOff>86264</xdr:colOff>
      <xdr:row>24</xdr:row>
      <xdr:rowOff>47624</xdr:rowOff>
    </xdr:from>
    <xdr:to>
      <xdr:col>7</xdr:col>
      <xdr:colOff>219434</xdr:colOff>
      <xdr:row>24</xdr:row>
      <xdr:rowOff>1064045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185" y="29213533"/>
          <a:ext cx="1444385" cy="1016421"/>
        </a:xfrm>
        <a:prstGeom prst="rect">
          <a:avLst/>
        </a:prstGeom>
      </xdr:spPr>
    </xdr:pic>
    <xdr:clientData/>
  </xdr:twoCellAnchor>
  <xdr:twoCellAnchor editAs="oneCell">
    <xdr:from>
      <xdr:col>7</xdr:col>
      <xdr:colOff>327266</xdr:colOff>
      <xdr:row>24</xdr:row>
      <xdr:rowOff>20846</xdr:rowOff>
    </xdr:from>
    <xdr:to>
      <xdr:col>8</xdr:col>
      <xdr:colOff>933630</xdr:colOff>
      <xdr:row>24</xdr:row>
      <xdr:rowOff>1176517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402" y="29186755"/>
          <a:ext cx="1227466" cy="1155671"/>
        </a:xfrm>
        <a:prstGeom prst="rect">
          <a:avLst/>
        </a:prstGeom>
      </xdr:spPr>
    </xdr:pic>
    <xdr:clientData/>
  </xdr:twoCellAnchor>
  <xdr:twoCellAnchor editAs="oneCell">
    <xdr:from>
      <xdr:col>6</xdr:col>
      <xdr:colOff>120770</xdr:colOff>
      <xdr:row>25</xdr:row>
      <xdr:rowOff>28576</xdr:rowOff>
    </xdr:from>
    <xdr:to>
      <xdr:col>6</xdr:col>
      <xdr:colOff>1282626</xdr:colOff>
      <xdr:row>25</xdr:row>
      <xdr:rowOff>1190626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1691" y="30393557"/>
          <a:ext cx="1161856" cy="1162050"/>
        </a:xfrm>
        <a:prstGeom prst="rect">
          <a:avLst/>
        </a:prstGeom>
      </xdr:spPr>
    </xdr:pic>
    <xdr:clientData/>
  </xdr:twoCellAnchor>
  <xdr:twoCellAnchor editAs="oneCell">
    <xdr:from>
      <xdr:col>7</xdr:col>
      <xdr:colOff>48524</xdr:colOff>
      <xdr:row>25</xdr:row>
      <xdr:rowOff>1796</xdr:rowOff>
    </xdr:from>
    <xdr:to>
      <xdr:col>8</xdr:col>
      <xdr:colOff>873963</xdr:colOff>
      <xdr:row>25</xdr:row>
      <xdr:rowOff>1246206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0660" y="30366777"/>
          <a:ext cx="1446541" cy="1244410"/>
        </a:xfrm>
        <a:prstGeom prst="rect">
          <a:avLst/>
        </a:prstGeom>
      </xdr:spPr>
    </xdr:pic>
    <xdr:clientData/>
  </xdr:twoCellAnchor>
  <xdr:twoCellAnchor editAs="oneCell">
    <xdr:from>
      <xdr:col>6</xdr:col>
      <xdr:colOff>94890</xdr:colOff>
      <xdr:row>26</xdr:row>
      <xdr:rowOff>47624</xdr:rowOff>
    </xdr:from>
    <xdr:to>
      <xdr:col>6</xdr:col>
      <xdr:colOff>1213937</xdr:colOff>
      <xdr:row>26</xdr:row>
      <xdr:rowOff>1171575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5811" y="31689315"/>
          <a:ext cx="1119047" cy="1123951"/>
        </a:xfrm>
        <a:prstGeom prst="rect">
          <a:avLst/>
        </a:prstGeom>
      </xdr:spPr>
    </xdr:pic>
    <xdr:clientData/>
  </xdr:twoCellAnchor>
  <xdr:twoCellAnchor editAs="oneCell">
    <xdr:from>
      <xdr:col>7</xdr:col>
      <xdr:colOff>166778</xdr:colOff>
      <xdr:row>26</xdr:row>
      <xdr:rowOff>29473</xdr:rowOff>
    </xdr:from>
    <xdr:to>
      <xdr:col>8</xdr:col>
      <xdr:colOff>1186732</xdr:colOff>
      <xdr:row>26</xdr:row>
      <xdr:rowOff>1134373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8914" y="31671164"/>
          <a:ext cx="1641056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189781</xdr:colOff>
      <xdr:row>27</xdr:row>
      <xdr:rowOff>99382</xdr:rowOff>
    </xdr:from>
    <xdr:to>
      <xdr:col>6</xdr:col>
      <xdr:colOff>1305748</xdr:colOff>
      <xdr:row>27</xdr:row>
      <xdr:rowOff>1851984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0702" y="32922891"/>
          <a:ext cx="1115967" cy="1752602"/>
        </a:xfrm>
        <a:prstGeom prst="rect">
          <a:avLst/>
        </a:prstGeom>
      </xdr:spPr>
    </xdr:pic>
    <xdr:clientData/>
  </xdr:twoCellAnchor>
  <xdr:twoCellAnchor editAs="oneCell">
    <xdr:from>
      <xdr:col>6</xdr:col>
      <xdr:colOff>86264</xdr:colOff>
      <xdr:row>31</xdr:row>
      <xdr:rowOff>34340</xdr:rowOff>
    </xdr:from>
    <xdr:to>
      <xdr:col>7</xdr:col>
      <xdr:colOff>281145</xdr:colOff>
      <xdr:row>31</xdr:row>
      <xdr:rowOff>1800226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185" y="39595080"/>
          <a:ext cx="1506096" cy="1765886"/>
        </a:xfrm>
        <a:prstGeom prst="rect">
          <a:avLst/>
        </a:prstGeom>
      </xdr:spPr>
    </xdr:pic>
    <xdr:clientData/>
  </xdr:twoCellAnchor>
  <xdr:twoCellAnchor editAs="oneCell">
    <xdr:from>
      <xdr:col>6</xdr:col>
      <xdr:colOff>94891</xdr:colOff>
      <xdr:row>29</xdr:row>
      <xdr:rowOff>36302</xdr:rowOff>
    </xdr:from>
    <xdr:to>
      <xdr:col>7</xdr:col>
      <xdr:colOff>342359</xdr:colOff>
      <xdr:row>29</xdr:row>
      <xdr:rowOff>1514796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5812" y="36396642"/>
          <a:ext cx="1558683" cy="1478494"/>
        </a:xfrm>
        <a:prstGeom prst="rect">
          <a:avLst/>
        </a:prstGeom>
      </xdr:spPr>
    </xdr:pic>
    <xdr:clientData/>
  </xdr:twoCellAnchor>
  <xdr:twoCellAnchor editAs="oneCell">
    <xdr:from>
      <xdr:col>6</xdr:col>
      <xdr:colOff>112143</xdr:colOff>
      <xdr:row>30</xdr:row>
      <xdr:rowOff>12220</xdr:rowOff>
    </xdr:from>
    <xdr:to>
      <xdr:col>7</xdr:col>
      <xdr:colOff>116343</xdr:colOff>
      <xdr:row>30</xdr:row>
      <xdr:rowOff>1545745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3064" y="37899435"/>
          <a:ext cx="1315415" cy="1533525"/>
        </a:xfrm>
        <a:prstGeom prst="rect">
          <a:avLst/>
        </a:prstGeom>
      </xdr:spPr>
    </xdr:pic>
    <xdr:clientData/>
  </xdr:twoCellAnchor>
  <xdr:twoCellAnchor editAs="oneCell">
    <xdr:from>
      <xdr:col>6</xdr:col>
      <xdr:colOff>86264</xdr:colOff>
      <xdr:row>28</xdr:row>
      <xdr:rowOff>24666</xdr:rowOff>
    </xdr:from>
    <xdr:to>
      <xdr:col>7</xdr:col>
      <xdr:colOff>286109</xdr:colOff>
      <xdr:row>28</xdr:row>
      <xdr:rowOff>1603658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185" y="34745987"/>
          <a:ext cx="1511060" cy="1578992"/>
        </a:xfrm>
        <a:prstGeom prst="rect">
          <a:avLst/>
        </a:prstGeom>
      </xdr:spPr>
    </xdr:pic>
    <xdr:clientData/>
  </xdr:twoCellAnchor>
  <xdr:twoCellAnchor editAs="oneCell">
    <xdr:from>
      <xdr:col>6</xdr:col>
      <xdr:colOff>129396</xdr:colOff>
      <xdr:row>32</xdr:row>
      <xdr:rowOff>220513</xdr:rowOff>
    </xdr:from>
    <xdr:to>
      <xdr:col>7</xdr:col>
      <xdr:colOff>235489</xdr:colOff>
      <xdr:row>33</xdr:row>
      <xdr:rowOff>477688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0317" y="41610053"/>
          <a:ext cx="1417308" cy="921409"/>
        </a:xfrm>
        <a:prstGeom prst="rect">
          <a:avLst/>
        </a:prstGeom>
      </xdr:spPr>
    </xdr:pic>
    <xdr:clientData/>
  </xdr:twoCellAnchor>
  <xdr:twoCellAnchor editAs="oneCell">
    <xdr:from>
      <xdr:col>7</xdr:col>
      <xdr:colOff>299229</xdr:colOff>
      <xdr:row>32</xdr:row>
      <xdr:rowOff>151628</xdr:rowOff>
    </xdr:from>
    <xdr:to>
      <xdr:col>10</xdr:col>
      <xdr:colOff>145896</xdr:colOff>
      <xdr:row>35</xdr:row>
      <xdr:rowOff>86263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1365" y="41541168"/>
          <a:ext cx="2702010" cy="1685797"/>
        </a:xfrm>
        <a:prstGeom prst="rect">
          <a:avLst/>
        </a:prstGeom>
      </xdr:spPr>
    </xdr:pic>
    <xdr:clientData/>
  </xdr:twoCellAnchor>
  <xdr:twoCellAnchor editAs="oneCell">
    <xdr:from>
      <xdr:col>6</xdr:col>
      <xdr:colOff>138023</xdr:colOff>
      <xdr:row>2</xdr:row>
      <xdr:rowOff>30373</xdr:rowOff>
    </xdr:from>
    <xdr:to>
      <xdr:col>7</xdr:col>
      <xdr:colOff>347392</xdr:colOff>
      <xdr:row>2</xdr:row>
      <xdr:rowOff>832985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8944" y="2048954"/>
          <a:ext cx="1520584" cy="802612"/>
        </a:xfrm>
        <a:prstGeom prst="rect">
          <a:avLst/>
        </a:prstGeom>
      </xdr:spPr>
    </xdr:pic>
    <xdr:clientData/>
  </xdr:twoCellAnchor>
  <xdr:twoCellAnchor editAs="oneCell">
    <xdr:from>
      <xdr:col>6</xdr:col>
      <xdr:colOff>138022</xdr:colOff>
      <xdr:row>1</xdr:row>
      <xdr:rowOff>116097</xdr:rowOff>
    </xdr:from>
    <xdr:to>
      <xdr:col>7</xdr:col>
      <xdr:colOff>256022</xdr:colOff>
      <xdr:row>1</xdr:row>
      <xdr:rowOff>1259097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8943" y="797584"/>
          <a:ext cx="1429215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189781</xdr:colOff>
      <xdr:row>3</xdr:row>
      <xdr:rowOff>35588</xdr:rowOff>
    </xdr:from>
    <xdr:to>
      <xdr:col>7</xdr:col>
      <xdr:colOff>188934</xdr:colOff>
      <xdr:row>3</xdr:row>
      <xdr:rowOff>1312653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0702" y="3020328"/>
          <a:ext cx="1310368" cy="127706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47626</xdr:colOff>
      <xdr:row>1</xdr:row>
      <xdr:rowOff>66675</xdr:rowOff>
    </xdr:from>
    <xdr:to>
      <xdr:col>10</xdr:col>
      <xdr:colOff>52476</xdr:colOff>
      <xdr:row>2</xdr:row>
      <xdr:rowOff>714375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6" y="800100"/>
          <a:ext cx="12240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47626</xdr:colOff>
      <xdr:row>3</xdr:row>
      <xdr:rowOff>28575</xdr:rowOff>
    </xdr:from>
    <xdr:to>
      <xdr:col>10</xdr:col>
      <xdr:colOff>144542</xdr:colOff>
      <xdr:row>5</xdr:row>
      <xdr:rowOff>19050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6" y="2390775"/>
          <a:ext cx="1316116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38101</xdr:colOff>
      <xdr:row>5</xdr:row>
      <xdr:rowOff>47626</xdr:rowOff>
    </xdr:from>
    <xdr:to>
      <xdr:col>10</xdr:col>
      <xdr:colOff>470575</xdr:colOff>
      <xdr:row>7</xdr:row>
      <xdr:rowOff>66676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1" y="3990976"/>
          <a:ext cx="1651674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38101</xdr:colOff>
      <xdr:row>7</xdr:row>
      <xdr:rowOff>28575</xdr:rowOff>
    </xdr:from>
    <xdr:to>
      <xdr:col>10</xdr:col>
      <xdr:colOff>457201</xdr:colOff>
      <xdr:row>9</xdr:row>
      <xdr:rowOff>37252</xdr:rowOff>
    </xdr:to>
    <xdr:pic>
      <xdr:nvPicPr>
        <xdr:cNvPr id="5" name="Рисунок 5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1" y="5591175"/>
          <a:ext cx="1638300" cy="1618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133350</xdr:colOff>
      <xdr:row>9</xdr:row>
      <xdr:rowOff>28575</xdr:rowOff>
    </xdr:from>
    <xdr:to>
      <xdr:col>10</xdr:col>
      <xdr:colOff>717695</xdr:colOff>
      <xdr:row>10</xdr:row>
      <xdr:rowOff>1114425</xdr:rowOff>
    </xdr:to>
    <xdr:pic>
      <xdr:nvPicPr>
        <xdr:cNvPr id="6" name="Рисунок 6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7200900"/>
          <a:ext cx="180354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10</xdr:row>
      <xdr:rowOff>1143000</xdr:rowOff>
    </xdr:from>
    <xdr:to>
      <xdr:col>10</xdr:col>
      <xdr:colOff>695325</xdr:colOff>
      <xdr:row>12</xdr:row>
      <xdr:rowOff>1193586</xdr:rowOff>
    </xdr:to>
    <xdr:pic>
      <xdr:nvPicPr>
        <xdr:cNvPr id="7" name="Рисунок 7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8475" y="9372600"/>
          <a:ext cx="1847850" cy="2212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50745</xdr:colOff>
      <xdr:row>2</xdr:row>
      <xdr:rowOff>20298</xdr:rowOff>
    </xdr:from>
    <xdr:to>
      <xdr:col>21</xdr:col>
      <xdr:colOff>31177</xdr:colOff>
      <xdr:row>17</xdr:row>
      <xdr:rowOff>172528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5726AEC-3BEA-408B-B73F-1807D2081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1401" y="1004724"/>
          <a:ext cx="5044646" cy="31765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2</xdr:row>
      <xdr:rowOff>9526</xdr:rowOff>
    </xdr:from>
    <xdr:to>
      <xdr:col>9</xdr:col>
      <xdr:colOff>323150</xdr:colOff>
      <xdr:row>13</xdr:row>
      <xdr:rowOff>142876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1019176"/>
          <a:ext cx="3971225" cy="22288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47624</xdr:colOff>
      <xdr:row>3</xdr:row>
      <xdr:rowOff>9523</xdr:rowOff>
    </xdr:from>
    <xdr:to>
      <xdr:col>11</xdr:col>
      <xdr:colOff>71575</xdr:colOff>
      <xdr:row>15</xdr:row>
      <xdr:rowOff>190500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499" y="723898"/>
          <a:ext cx="3633926" cy="2581277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23</xdr:row>
      <xdr:rowOff>18137</xdr:rowOff>
    </xdr:from>
    <xdr:to>
      <xdr:col>10</xdr:col>
      <xdr:colOff>594602</xdr:colOff>
      <xdr:row>37</xdr:row>
      <xdr:rowOff>19050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4742537"/>
          <a:ext cx="3499727" cy="2801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28576</xdr:colOff>
      <xdr:row>43</xdr:row>
      <xdr:rowOff>19050</xdr:rowOff>
    </xdr:from>
    <xdr:to>
      <xdr:col>8</xdr:col>
      <xdr:colOff>98783</xdr:colOff>
      <xdr:row>52</xdr:row>
      <xdr:rowOff>123826</xdr:rowOff>
    </xdr:to>
    <xdr:pic>
      <xdr:nvPicPr>
        <xdr:cNvPr id="4" name="Рисунок 8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6" y="8763000"/>
          <a:ext cx="2118082" cy="3190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304801</xdr:rowOff>
    </xdr:from>
    <xdr:to>
      <xdr:col>8</xdr:col>
      <xdr:colOff>229571</xdr:colOff>
      <xdr:row>60</xdr:row>
      <xdr:rowOff>95251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12068176"/>
          <a:ext cx="2182196" cy="310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404890</xdr:colOff>
      <xdr:row>27</xdr:row>
      <xdr:rowOff>2616</xdr:rowOff>
    </xdr:from>
    <xdr:to>
      <xdr:col>4</xdr:col>
      <xdr:colOff>5667</xdr:colOff>
      <xdr:row>32</xdr:row>
      <xdr:rowOff>139844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998927" y="5342904"/>
          <a:ext cx="1089728" cy="772352"/>
        </a:xfrm>
        <a:prstGeom prst="rect">
          <a:avLst/>
        </a:prstGeom>
      </xdr:spPr>
    </xdr:pic>
    <xdr:clientData/>
  </xdr:twoCellAnchor>
  <xdr:twoCellAnchor editAs="oneCell">
    <xdr:from>
      <xdr:col>2</xdr:col>
      <xdr:colOff>161026</xdr:colOff>
      <xdr:row>18</xdr:row>
      <xdr:rowOff>190504</xdr:rowOff>
    </xdr:from>
    <xdr:to>
      <xdr:col>3</xdr:col>
      <xdr:colOff>374570</xdr:colOff>
      <xdr:row>25</xdr:row>
      <xdr:rowOff>16566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45542" y="3825813"/>
          <a:ext cx="1159562" cy="823144"/>
        </a:xfrm>
        <a:prstGeom prst="rect">
          <a:avLst/>
        </a:prstGeom>
      </xdr:spPr>
    </xdr:pic>
    <xdr:clientData/>
  </xdr:twoCellAnchor>
  <xdr:twoCellAnchor editAs="oneCell">
    <xdr:from>
      <xdr:col>2</xdr:col>
      <xdr:colOff>127226</xdr:colOff>
      <xdr:row>4</xdr:row>
      <xdr:rowOff>29904</xdr:rowOff>
    </xdr:from>
    <xdr:to>
      <xdr:col>3</xdr:col>
      <xdr:colOff>447501</xdr:colOff>
      <xdr:row>7</xdr:row>
      <xdr:rowOff>132523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9951" y="830004"/>
          <a:ext cx="929875" cy="674119"/>
        </a:xfrm>
        <a:prstGeom prst="rect">
          <a:avLst/>
        </a:prstGeom>
      </xdr:spPr>
    </xdr:pic>
    <xdr:clientData/>
  </xdr:twoCellAnchor>
  <xdr:twoCellAnchor editAs="oneCell">
    <xdr:from>
      <xdr:col>2</xdr:col>
      <xdr:colOff>93349</xdr:colOff>
      <xdr:row>7</xdr:row>
      <xdr:rowOff>3069</xdr:rowOff>
    </xdr:from>
    <xdr:to>
      <xdr:col>3</xdr:col>
      <xdr:colOff>466970</xdr:colOff>
      <xdr:row>10</xdr:row>
      <xdr:rowOff>157371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074" y="1374669"/>
          <a:ext cx="983221" cy="725802"/>
        </a:xfrm>
        <a:prstGeom prst="rect">
          <a:avLst/>
        </a:prstGeom>
      </xdr:spPr>
    </xdr:pic>
    <xdr:clientData/>
  </xdr:twoCellAnchor>
  <xdr:twoCellAnchor editAs="oneCell">
    <xdr:from>
      <xdr:col>2</xdr:col>
      <xdr:colOff>167405</xdr:colOff>
      <xdr:row>32</xdr:row>
      <xdr:rowOff>171960</xdr:rowOff>
    </xdr:from>
    <xdr:to>
      <xdr:col>3</xdr:col>
      <xdr:colOff>386012</xdr:colOff>
      <xdr:row>36</xdr:row>
      <xdr:rowOff>107674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0130" y="6306060"/>
          <a:ext cx="828207" cy="697714"/>
        </a:xfrm>
        <a:prstGeom prst="rect">
          <a:avLst/>
        </a:prstGeom>
      </xdr:spPr>
    </xdr:pic>
    <xdr:clientData/>
  </xdr:twoCellAnchor>
  <xdr:twoCellAnchor editAs="oneCell">
    <xdr:from>
      <xdr:col>2</xdr:col>
      <xdr:colOff>89631</xdr:colOff>
      <xdr:row>36</xdr:row>
      <xdr:rowOff>0</xdr:rowOff>
    </xdr:from>
    <xdr:to>
      <xdr:col>3</xdr:col>
      <xdr:colOff>452018</xdr:colOff>
      <xdr:row>39</xdr:row>
      <xdr:rowOff>12657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2356" y="6896100"/>
          <a:ext cx="971987" cy="584157"/>
        </a:xfrm>
        <a:prstGeom prst="rect">
          <a:avLst/>
        </a:prstGeom>
      </xdr:spPr>
    </xdr:pic>
    <xdr:clientData/>
  </xdr:twoCellAnchor>
  <xdr:twoCellAnchor editAs="oneCell">
    <xdr:from>
      <xdr:col>2</xdr:col>
      <xdr:colOff>102226</xdr:colOff>
      <xdr:row>12</xdr:row>
      <xdr:rowOff>125830</xdr:rowOff>
    </xdr:from>
    <xdr:to>
      <xdr:col>3</xdr:col>
      <xdr:colOff>453653</xdr:colOff>
      <xdr:row>16</xdr:row>
      <xdr:rowOff>57977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4951" y="2449930"/>
          <a:ext cx="961027" cy="694147"/>
        </a:xfrm>
        <a:prstGeom prst="rect">
          <a:avLst/>
        </a:prstGeom>
      </xdr:spPr>
    </xdr:pic>
    <xdr:clientData/>
  </xdr:twoCellAnchor>
  <xdr:twoCellAnchor editAs="oneCell">
    <xdr:from>
      <xdr:col>2</xdr:col>
      <xdr:colOff>99391</xdr:colOff>
      <xdr:row>38</xdr:row>
      <xdr:rowOff>107674</xdr:rowOff>
    </xdr:from>
    <xdr:to>
      <xdr:col>3</xdr:col>
      <xdr:colOff>74543</xdr:colOff>
      <xdr:row>41</xdr:row>
      <xdr:rowOff>154656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2116" y="7384774"/>
          <a:ext cx="584752" cy="618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40595</xdr:colOff>
      <xdr:row>2</xdr:row>
      <xdr:rowOff>60893</xdr:rowOff>
    </xdr:from>
    <xdr:to>
      <xdr:col>21</xdr:col>
      <xdr:colOff>37144</xdr:colOff>
      <xdr:row>18</xdr:row>
      <xdr:rowOff>30446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545F0DC-7FCD-4A75-8748-6A58E2A09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1251" y="1045319"/>
          <a:ext cx="5060763" cy="31866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15736</xdr:colOff>
      <xdr:row>0</xdr:row>
      <xdr:rowOff>0</xdr:rowOff>
    </xdr:from>
    <xdr:to>
      <xdr:col>20</xdr:col>
      <xdr:colOff>175841</xdr:colOff>
      <xdr:row>7</xdr:row>
      <xdr:rowOff>57979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1886" y="0"/>
          <a:ext cx="2598505" cy="1486729"/>
        </a:xfrm>
        <a:prstGeom prst="rect">
          <a:avLst/>
        </a:prstGeom>
        <a:ln>
          <a:noFill/>
        </a:ln>
        <a:effectLst>
          <a:softEdge rad="3175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112144</xdr:colOff>
      <xdr:row>2</xdr:row>
      <xdr:rowOff>189781</xdr:rowOff>
    </xdr:from>
    <xdr:to>
      <xdr:col>19</xdr:col>
      <xdr:colOff>1156464</xdr:colOff>
      <xdr:row>10</xdr:row>
      <xdr:rowOff>77638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D992CAC-C3E4-4322-9D23-A41D1A0E6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5540" y="664234"/>
          <a:ext cx="2433173" cy="15441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43132</xdr:colOff>
      <xdr:row>2</xdr:row>
      <xdr:rowOff>127465</xdr:rowOff>
    </xdr:from>
    <xdr:to>
      <xdr:col>12</xdr:col>
      <xdr:colOff>1486379</xdr:colOff>
      <xdr:row>12</xdr:row>
      <xdr:rowOff>146650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760695F-0161-4D52-AB30-DEEF8E1A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1034" y="852084"/>
          <a:ext cx="2676824" cy="1916996"/>
        </a:xfrm>
        <a:prstGeom prst="rect">
          <a:avLst/>
        </a:prstGeom>
      </xdr:spPr>
    </xdr:pic>
    <xdr:clientData/>
  </xdr:twoCellAnchor>
  <xdr:twoCellAnchor editAs="oneCell">
    <xdr:from>
      <xdr:col>10</xdr:col>
      <xdr:colOff>26128</xdr:colOff>
      <xdr:row>49</xdr:row>
      <xdr:rowOff>120768</xdr:rowOff>
    </xdr:from>
    <xdr:to>
      <xdr:col>11</xdr:col>
      <xdr:colOff>1138687</xdr:colOff>
      <xdr:row>58</xdr:row>
      <xdr:rowOff>22846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76DD935-A7B2-468C-BB29-126F3CE8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030" y="10032519"/>
          <a:ext cx="2441027" cy="1748131"/>
        </a:xfrm>
        <a:prstGeom prst="rect">
          <a:avLst/>
        </a:prstGeom>
      </xdr:spPr>
    </xdr:pic>
    <xdr:clientData/>
  </xdr:twoCellAnchor>
  <xdr:twoCellAnchor editAs="oneCell">
    <xdr:from>
      <xdr:col>10</xdr:col>
      <xdr:colOff>12421</xdr:colOff>
      <xdr:row>60</xdr:row>
      <xdr:rowOff>86264</xdr:rowOff>
    </xdr:from>
    <xdr:to>
      <xdr:col>11</xdr:col>
      <xdr:colOff>1181818</xdr:colOff>
      <xdr:row>69</xdr:row>
      <xdr:rowOff>167069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B65AC94-EE81-48F2-BE10-D5B15EE0B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0323" y="12249509"/>
          <a:ext cx="2497865" cy="1788835"/>
        </a:xfrm>
        <a:prstGeom prst="rect">
          <a:avLst/>
        </a:prstGeom>
      </xdr:spPr>
    </xdr:pic>
    <xdr:clientData/>
  </xdr:twoCellAnchor>
  <xdr:twoCellAnchor editAs="oneCell">
    <xdr:from>
      <xdr:col>10</xdr:col>
      <xdr:colOff>30742</xdr:colOff>
      <xdr:row>107</xdr:row>
      <xdr:rowOff>60385</xdr:rowOff>
    </xdr:from>
    <xdr:to>
      <xdr:col>11</xdr:col>
      <xdr:colOff>923027</xdr:colOff>
      <xdr:row>115</xdr:row>
      <xdr:rowOff>132518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D538A9E-D6F2-4EC9-AC56-B3AB09F88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8644" y="21143343"/>
          <a:ext cx="2220753" cy="1590383"/>
        </a:xfrm>
        <a:prstGeom prst="rect">
          <a:avLst/>
        </a:prstGeom>
      </xdr:spPr>
    </xdr:pic>
    <xdr:clientData/>
  </xdr:twoCellAnchor>
  <xdr:twoCellAnchor editAs="oneCell">
    <xdr:from>
      <xdr:col>10</xdr:col>
      <xdr:colOff>90120</xdr:colOff>
      <xdr:row>117</xdr:row>
      <xdr:rowOff>60385</xdr:rowOff>
    </xdr:from>
    <xdr:to>
      <xdr:col>12</xdr:col>
      <xdr:colOff>202200</xdr:colOff>
      <xdr:row>127</xdr:row>
      <xdr:rowOff>77638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A907817-B67A-4BBA-A140-01485243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22" y="23041155"/>
          <a:ext cx="2674125" cy="1915064"/>
        </a:xfrm>
        <a:prstGeom prst="rect">
          <a:avLst/>
        </a:prstGeom>
      </xdr:spPr>
    </xdr:pic>
    <xdr:clientData/>
  </xdr:twoCellAnchor>
  <xdr:twoCellAnchor editAs="oneCell">
    <xdr:from>
      <xdr:col>10</xdr:col>
      <xdr:colOff>69010</xdr:colOff>
      <xdr:row>164</xdr:row>
      <xdr:rowOff>115153</xdr:rowOff>
    </xdr:from>
    <xdr:to>
      <xdr:col>11</xdr:col>
      <xdr:colOff>715994</xdr:colOff>
      <xdr:row>172</xdr:row>
      <xdr:rowOff>11615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8F5DDBA-3819-49E2-81F8-109CA410D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912" y="32015636"/>
          <a:ext cx="1975452" cy="1414711"/>
        </a:xfrm>
        <a:prstGeom prst="rect">
          <a:avLst/>
        </a:prstGeom>
      </xdr:spPr>
    </xdr:pic>
    <xdr:clientData/>
  </xdr:twoCellAnchor>
  <xdr:twoCellAnchor editAs="oneCell">
    <xdr:from>
      <xdr:col>10</xdr:col>
      <xdr:colOff>71646</xdr:colOff>
      <xdr:row>175</xdr:row>
      <xdr:rowOff>60384</xdr:rowOff>
    </xdr:from>
    <xdr:to>
      <xdr:col>11</xdr:col>
      <xdr:colOff>948906</xdr:colOff>
      <xdr:row>183</xdr:row>
      <xdr:rowOff>121757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25F0FE2-CEEA-445B-85F4-BA97190D3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548" y="34048459"/>
          <a:ext cx="2205728" cy="1579623"/>
        </a:xfrm>
        <a:prstGeom prst="rect">
          <a:avLst/>
        </a:prstGeom>
      </xdr:spPr>
    </xdr:pic>
    <xdr:clientData/>
  </xdr:twoCellAnchor>
  <xdr:twoCellAnchor editAs="oneCell">
    <xdr:from>
      <xdr:col>10</xdr:col>
      <xdr:colOff>146649</xdr:colOff>
      <xdr:row>221</xdr:row>
      <xdr:rowOff>138022</xdr:rowOff>
    </xdr:from>
    <xdr:to>
      <xdr:col>11</xdr:col>
      <xdr:colOff>793633</xdr:colOff>
      <xdr:row>229</xdr:row>
      <xdr:rowOff>34484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F0E11869-6034-4278-ACCB-A0E3A766F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4551" y="42856030"/>
          <a:ext cx="1975452" cy="1414711"/>
        </a:xfrm>
        <a:prstGeom prst="rect">
          <a:avLst/>
        </a:prstGeom>
      </xdr:spPr>
    </xdr:pic>
    <xdr:clientData/>
  </xdr:twoCellAnchor>
  <xdr:twoCellAnchor editAs="oneCell">
    <xdr:from>
      <xdr:col>10</xdr:col>
      <xdr:colOff>104804</xdr:colOff>
      <xdr:row>231</xdr:row>
      <xdr:rowOff>43132</xdr:rowOff>
    </xdr:from>
    <xdr:to>
      <xdr:col>11</xdr:col>
      <xdr:colOff>974785</xdr:colOff>
      <xdr:row>239</xdr:row>
      <xdr:rowOff>99293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28F897B-8299-4E8A-ACD4-D4D294DB3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2706" y="44658951"/>
          <a:ext cx="2198449" cy="1574410"/>
        </a:xfrm>
        <a:prstGeom prst="rect">
          <a:avLst/>
        </a:prstGeom>
      </xdr:spPr>
    </xdr:pic>
    <xdr:clientData/>
  </xdr:twoCellAnchor>
  <xdr:twoCellAnchor editAs="oneCell">
    <xdr:from>
      <xdr:col>9</xdr:col>
      <xdr:colOff>1061049</xdr:colOff>
      <xdr:row>278</xdr:row>
      <xdr:rowOff>141662</xdr:rowOff>
    </xdr:from>
    <xdr:to>
      <xdr:col>11</xdr:col>
      <xdr:colOff>793630</xdr:colOff>
      <xdr:row>286</xdr:row>
      <xdr:rowOff>155500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7FC8790-648E-4B4B-B4FC-4DD09961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0649" y="53677194"/>
          <a:ext cx="2139351" cy="1532087"/>
        </a:xfrm>
        <a:prstGeom prst="rect">
          <a:avLst/>
        </a:prstGeom>
      </xdr:spPr>
    </xdr:pic>
    <xdr:clientData/>
  </xdr:twoCellAnchor>
  <xdr:twoCellAnchor editAs="oneCell">
    <xdr:from>
      <xdr:col>10</xdr:col>
      <xdr:colOff>94891</xdr:colOff>
      <xdr:row>335</xdr:row>
      <xdr:rowOff>17252</xdr:rowOff>
    </xdr:from>
    <xdr:to>
      <xdr:col>11</xdr:col>
      <xdr:colOff>905774</xdr:colOff>
      <xdr:row>343</xdr:row>
      <xdr:rowOff>31090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CF3AC4D6-3F5C-414D-BCE6-282DE220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2793" y="64370309"/>
          <a:ext cx="2139351" cy="1532087"/>
        </a:xfrm>
        <a:prstGeom prst="rect">
          <a:avLst/>
        </a:prstGeom>
      </xdr:spPr>
    </xdr:pic>
    <xdr:clientData/>
  </xdr:twoCellAnchor>
  <xdr:twoCellAnchor editAs="oneCell">
    <xdr:from>
      <xdr:col>10</xdr:col>
      <xdr:colOff>65435</xdr:colOff>
      <xdr:row>288</xdr:row>
      <xdr:rowOff>129396</xdr:rowOff>
    </xdr:from>
    <xdr:to>
      <xdr:col>11</xdr:col>
      <xdr:colOff>1130061</xdr:colOff>
      <xdr:row>297</xdr:row>
      <xdr:rowOff>135169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BFC8293A-5AFC-49FF-8B6A-D40F5418F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3337" y="55562739"/>
          <a:ext cx="2393094" cy="1713804"/>
        </a:xfrm>
        <a:prstGeom prst="rect">
          <a:avLst/>
        </a:prstGeom>
      </xdr:spPr>
    </xdr:pic>
    <xdr:clientData/>
  </xdr:twoCellAnchor>
  <xdr:twoCellAnchor editAs="oneCell">
    <xdr:from>
      <xdr:col>10</xdr:col>
      <xdr:colOff>120770</xdr:colOff>
      <xdr:row>392</xdr:row>
      <xdr:rowOff>3256</xdr:rowOff>
    </xdr:from>
    <xdr:to>
      <xdr:col>11</xdr:col>
      <xdr:colOff>1233014</xdr:colOff>
      <xdr:row>401</xdr:row>
      <xdr:rowOff>43132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E470E73F-2F00-4F7A-B31F-D93F1F6AA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8672" y="75173837"/>
          <a:ext cx="2440712" cy="1747906"/>
        </a:xfrm>
        <a:prstGeom prst="rect">
          <a:avLst/>
        </a:prstGeom>
      </xdr:spPr>
    </xdr:pic>
    <xdr:clientData/>
  </xdr:twoCellAnchor>
  <xdr:twoCellAnchor editAs="oneCell">
    <xdr:from>
      <xdr:col>10</xdr:col>
      <xdr:colOff>30208</xdr:colOff>
      <xdr:row>344</xdr:row>
      <xdr:rowOff>146649</xdr:rowOff>
    </xdr:from>
    <xdr:to>
      <xdr:col>12</xdr:col>
      <xdr:colOff>130243</xdr:colOff>
      <xdr:row>354</xdr:row>
      <xdr:rowOff>155275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68340D8-C2A8-4073-A0D5-F9B32E073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8110" y="66207736"/>
          <a:ext cx="2662080" cy="1906437"/>
        </a:xfrm>
        <a:prstGeom prst="rect">
          <a:avLst/>
        </a:prstGeom>
      </xdr:spPr>
    </xdr:pic>
    <xdr:clientData/>
  </xdr:twoCellAnchor>
  <xdr:twoCellAnchor editAs="oneCell">
    <xdr:from>
      <xdr:col>10</xdr:col>
      <xdr:colOff>120770</xdr:colOff>
      <xdr:row>402</xdr:row>
      <xdr:rowOff>138022</xdr:rowOff>
    </xdr:from>
    <xdr:to>
      <xdr:col>11</xdr:col>
      <xdr:colOff>905773</xdr:colOff>
      <xdr:row>410</xdr:row>
      <xdr:rowOff>133325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0E6425C-F18B-427D-B50B-607FD4883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8672" y="77206414"/>
          <a:ext cx="2113471" cy="1513553"/>
        </a:xfrm>
        <a:prstGeom prst="rect">
          <a:avLst/>
        </a:prstGeom>
      </xdr:spPr>
    </xdr:pic>
    <xdr:clientData/>
  </xdr:twoCellAnchor>
  <xdr:twoCellAnchor editAs="oneCell">
    <xdr:from>
      <xdr:col>10</xdr:col>
      <xdr:colOff>112142</xdr:colOff>
      <xdr:row>449</xdr:row>
      <xdr:rowOff>17252</xdr:rowOff>
    </xdr:from>
    <xdr:to>
      <xdr:col>11</xdr:col>
      <xdr:colOff>879893</xdr:colOff>
      <xdr:row>457</xdr:row>
      <xdr:rowOff>201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D10B6D7-D542-45D2-86B9-2737B3672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044" y="86005358"/>
          <a:ext cx="2096219" cy="1501198"/>
        </a:xfrm>
        <a:prstGeom prst="rect">
          <a:avLst/>
        </a:prstGeom>
      </xdr:spPr>
    </xdr:pic>
    <xdr:clientData/>
  </xdr:twoCellAnchor>
  <xdr:twoCellAnchor editAs="oneCell">
    <xdr:from>
      <xdr:col>10</xdr:col>
      <xdr:colOff>128674</xdr:colOff>
      <xdr:row>459</xdr:row>
      <xdr:rowOff>34505</xdr:rowOff>
    </xdr:from>
    <xdr:to>
      <xdr:col>11</xdr:col>
      <xdr:colOff>1138687</xdr:colOff>
      <xdr:row>468</xdr:row>
      <xdr:rowOff>1168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EC520D7-FA98-4819-986E-4B6026186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6576" y="87920422"/>
          <a:ext cx="2338481" cy="1674693"/>
        </a:xfrm>
        <a:prstGeom prst="rect">
          <a:avLst/>
        </a:prstGeom>
      </xdr:spPr>
    </xdr:pic>
    <xdr:clientData/>
  </xdr:twoCellAnchor>
  <xdr:twoCellAnchor editAs="oneCell">
    <xdr:from>
      <xdr:col>10</xdr:col>
      <xdr:colOff>146649</xdr:colOff>
      <xdr:row>498</xdr:row>
      <xdr:rowOff>60387</xdr:rowOff>
    </xdr:from>
    <xdr:to>
      <xdr:col>11</xdr:col>
      <xdr:colOff>828137</xdr:colOff>
      <xdr:row>505</xdr:row>
      <xdr:rowOff>171341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8F0C4BA-954A-4982-A901-F29F0B45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4551" y="95347768"/>
          <a:ext cx="2009956" cy="1439422"/>
        </a:xfrm>
        <a:prstGeom prst="rect">
          <a:avLst/>
        </a:prstGeom>
      </xdr:spPr>
    </xdr:pic>
    <xdr:clientData/>
  </xdr:twoCellAnchor>
  <xdr:twoCellAnchor editAs="oneCell">
    <xdr:from>
      <xdr:col>9</xdr:col>
      <xdr:colOff>1060484</xdr:colOff>
      <xdr:row>513</xdr:row>
      <xdr:rowOff>77637</xdr:rowOff>
    </xdr:from>
    <xdr:to>
      <xdr:col>11</xdr:col>
      <xdr:colOff>1207697</xdr:colOff>
      <xdr:row>523</xdr:row>
      <xdr:rowOff>8850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F103770-F05D-4B9D-A519-1DC8E579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0084" y="98211735"/>
          <a:ext cx="2553983" cy="18290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155276</xdr:colOff>
      <xdr:row>552</xdr:row>
      <xdr:rowOff>93859</xdr:rowOff>
    </xdr:from>
    <xdr:to>
      <xdr:col>11</xdr:col>
      <xdr:colOff>828135</xdr:colOff>
      <xdr:row>560</xdr:row>
      <xdr:rowOff>8852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C959328C-3DC1-4C3C-95F2-D966F6B6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3178" y="105629421"/>
          <a:ext cx="2001327" cy="1433242"/>
        </a:xfrm>
        <a:prstGeom prst="rect">
          <a:avLst/>
        </a:prstGeom>
      </xdr:spPr>
    </xdr:pic>
    <xdr:clientData/>
  </xdr:twoCellAnchor>
  <xdr:twoCellAnchor editAs="oneCell">
    <xdr:from>
      <xdr:col>10</xdr:col>
      <xdr:colOff>146649</xdr:colOff>
      <xdr:row>568</xdr:row>
      <xdr:rowOff>115626</xdr:rowOff>
    </xdr:from>
    <xdr:to>
      <xdr:col>11</xdr:col>
      <xdr:colOff>1164567</xdr:colOff>
      <xdr:row>573</xdr:row>
      <xdr:rowOff>26576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D3841F02-2D75-485C-BAFD-2AF06FA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4551" y="108687686"/>
          <a:ext cx="2346386" cy="859856"/>
        </a:xfrm>
        <a:prstGeom prst="rect">
          <a:avLst/>
        </a:prstGeom>
      </xdr:spPr>
    </xdr:pic>
    <xdr:clientData/>
  </xdr:twoCellAnchor>
  <xdr:twoCellAnchor editAs="oneCell">
    <xdr:from>
      <xdr:col>10</xdr:col>
      <xdr:colOff>224287</xdr:colOff>
      <xdr:row>607</xdr:row>
      <xdr:rowOff>17253</xdr:rowOff>
    </xdr:from>
    <xdr:to>
      <xdr:col>11</xdr:col>
      <xdr:colOff>1086929</xdr:colOff>
      <xdr:row>610</xdr:row>
      <xdr:rowOff>126052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B3E924F6-0EC9-455F-BF0E-053126981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2189" y="115990778"/>
          <a:ext cx="2191110" cy="6781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86264</xdr:colOff>
      <xdr:row>2</xdr:row>
      <xdr:rowOff>94890</xdr:rowOff>
    </xdr:from>
    <xdr:to>
      <xdr:col>12</xdr:col>
      <xdr:colOff>1037742</xdr:colOff>
      <xdr:row>10</xdr:row>
      <xdr:rowOff>141460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5021FB9-280A-4031-8F50-006C4558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1192" y="819509"/>
          <a:ext cx="2185056" cy="1564819"/>
        </a:xfrm>
        <a:prstGeom prst="rect">
          <a:avLst/>
        </a:prstGeom>
      </xdr:spPr>
    </xdr:pic>
    <xdr:clientData/>
  </xdr:twoCellAnchor>
  <xdr:twoCellAnchor editAs="oneCell">
    <xdr:from>
      <xdr:col>10</xdr:col>
      <xdr:colOff>135449</xdr:colOff>
      <xdr:row>13</xdr:row>
      <xdr:rowOff>146649</xdr:rowOff>
    </xdr:from>
    <xdr:to>
      <xdr:col>11</xdr:col>
      <xdr:colOff>1011329</xdr:colOff>
      <xdr:row>22</xdr:row>
      <xdr:rowOff>17253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244D7AE-83A7-4E8C-8D98-CC79FBAC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0377" y="2958860"/>
          <a:ext cx="2204348" cy="15786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67093</xdr:colOff>
      <xdr:row>2</xdr:row>
      <xdr:rowOff>47923</xdr:rowOff>
    </xdr:from>
    <xdr:to>
      <xdr:col>10</xdr:col>
      <xdr:colOff>133165</xdr:colOff>
      <xdr:row>17</xdr:row>
      <xdr:rowOff>28754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BD39038-582F-4303-87FE-92C3CBC5E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339" y="1054339"/>
          <a:ext cx="4992713" cy="31438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66261</xdr:colOff>
      <xdr:row>74</xdr:row>
      <xdr:rowOff>41410</xdr:rowOff>
    </xdr:from>
    <xdr:to>
      <xdr:col>4</xdr:col>
      <xdr:colOff>935935</xdr:colOff>
      <xdr:row>74</xdr:row>
      <xdr:rowOff>950219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5370" y="18437084"/>
          <a:ext cx="869674" cy="908809"/>
        </a:xfrm>
        <a:prstGeom prst="rect">
          <a:avLst/>
        </a:prstGeom>
      </xdr:spPr>
    </xdr:pic>
    <xdr:clientData/>
  </xdr:twoCellAnchor>
  <xdr:twoCellAnchor editAs="oneCell">
    <xdr:from>
      <xdr:col>4</xdr:col>
      <xdr:colOff>220731</xdr:colOff>
      <xdr:row>72</xdr:row>
      <xdr:rowOff>89997</xdr:rowOff>
    </xdr:from>
    <xdr:to>
      <xdr:col>4</xdr:col>
      <xdr:colOff>891620</xdr:colOff>
      <xdr:row>72</xdr:row>
      <xdr:rowOff>985633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0206" y="17368347"/>
          <a:ext cx="670889" cy="895636"/>
        </a:xfrm>
        <a:prstGeom prst="rect">
          <a:avLst/>
        </a:prstGeom>
      </xdr:spPr>
    </xdr:pic>
    <xdr:clientData/>
  </xdr:twoCellAnchor>
  <xdr:twoCellAnchor editAs="oneCell">
    <xdr:from>
      <xdr:col>4</xdr:col>
      <xdr:colOff>33130</xdr:colOff>
      <xdr:row>68</xdr:row>
      <xdr:rowOff>33131</xdr:rowOff>
    </xdr:from>
    <xdr:to>
      <xdr:col>5</xdr:col>
      <xdr:colOff>40407</xdr:colOff>
      <xdr:row>68</xdr:row>
      <xdr:rowOff>786846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2239" y="13045109"/>
          <a:ext cx="1141994" cy="753715"/>
        </a:xfrm>
        <a:prstGeom prst="rect">
          <a:avLst/>
        </a:prstGeom>
      </xdr:spPr>
    </xdr:pic>
    <xdr:clientData/>
  </xdr:twoCellAnchor>
  <xdr:twoCellAnchor editAs="oneCell">
    <xdr:from>
      <xdr:col>4</xdr:col>
      <xdr:colOff>49696</xdr:colOff>
      <xdr:row>69</xdr:row>
      <xdr:rowOff>74546</xdr:rowOff>
    </xdr:from>
    <xdr:to>
      <xdr:col>5</xdr:col>
      <xdr:colOff>34789</xdr:colOff>
      <xdr:row>69</xdr:row>
      <xdr:rowOff>801096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805" y="13898220"/>
          <a:ext cx="1119810" cy="726550"/>
        </a:xfrm>
        <a:prstGeom prst="rect">
          <a:avLst/>
        </a:prstGeom>
      </xdr:spPr>
    </xdr:pic>
    <xdr:clientData/>
  </xdr:twoCellAnchor>
  <xdr:twoCellAnchor editAs="oneCell">
    <xdr:from>
      <xdr:col>4</xdr:col>
      <xdr:colOff>74544</xdr:colOff>
      <xdr:row>71</xdr:row>
      <xdr:rowOff>16565</xdr:rowOff>
    </xdr:from>
    <xdr:to>
      <xdr:col>5</xdr:col>
      <xdr:colOff>12920</xdr:colOff>
      <xdr:row>72</xdr:row>
      <xdr:rowOff>8281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3653" y="15654130"/>
          <a:ext cx="1073093" cy="853108"/>
        </a:xfrm>
        <a:prstGeom prst="rect">
          <a:avLst/>
        </a:prstGeom>
      </xdr:spPr>
    </xdr:pic>
    <xdr:clientData/>
  </xdr:twoCellAnchor>
  <xdr:twoCellAnchor editAs="oneCell">
    <xdr:from>
      <xdr:col>4</xdr:col>
      <xdr:colOff>91109</xdr:colOff>
      <xdr:row>70</xdr:row>
      <xdr:rowOff>66261</xdr:rowOff>
    </xdr:from>
    <xdr:to>
      <xdr:col>4</xdr:col>
      <xdr:colOff>1093303</xdr:colOff>
      <xdr:row>70</xdr:row>
      <xdr:rowOff>873025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18" y="14759609"/>
          <a:ext cx="1002194" cy="806764"/>
        </a:xfrm>
        <a:prstGeom prst="rect">
          <a:avLst/>
        </a:prstGeom>
      </xdr:spPr>
    </xdr:pic>
    <xdr:clientData/>
  </xdr:twoCellAnchor>
  <xdr:twoCellAnchor editAs="oneCell">
    <xdr:from>
      <xdr:col>4</xdr:col>
      <xdr:colOff>57979</xdr:colOff>
      <xdr:row>73</xdr:row>
      <xdr:rowOff>8283</xdr:rowOff>
    </xdr:from>
    <xdr:to>
      <xdr:col>4</xdr:col>
      <xdr:colOff>1032403</xdr:colOff>
      <xdr:row>74</xdr:row>
      <xdr:rowOff>460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088" y="17567413"/>
          <a:ext cx="974424" cy="828260"/>
        </a:xfrm>
        <a:prstGeom prst="rect">
          <a:avLst/>
        </a:prstGeom>
      </xdr:spPr>
    </xdr:pic>
    <xdr:clientData/>
  </xdr:twoCellAnchor>
  <xdr:twoCellAnchor editAs="oneCell">
    <xdr:from>
      <xdr:col>4</xdr:col>
      <xdr:colOff>47923</xdr:colOff>
      <xdr:row>2</xdr:row>
      <xdr:rowOff>201283</xdr:rowOff>
    </xdr:from>
    <xdr:to>
      <xdr:col>6</xdr:col>
      <xdr:colOff>626329</xdr:colOff>
      <xdr:row>15</xdr:row>
      <xdr:rowOff>134189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18CA99A-BE1F-4167-BF78-2A13243A6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2339" y="690113"/>
          <a:ext cx="4278179" cy="2693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zakaz@elkan.r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A17"/>
  <sheetViews>
    <sheetView zoomScaleNormal="100" workbookViewId="0">
      <pane xSplit="4" ySplit="7" topLeftCell="E8" activePane="bottomRight" state="frozen"/>
      <selection pane="topRight" activeCell="L1" sqref="L1"/>
      <selection pane="bottomLeft" activeCell="A7" sqref="A7"/>
      <selection pane="bottomRight" activeCell="B8" sqref="B8"/>
    </sheetView>
  </sheetViews>
  <sheetFormatPr defaultRowHeight="14.3"/>
  <cols>
    <col min="1" max="1" width="6.875" customWidth="1"/>
    <col min="2" max="2" width="44.625" customWidth="1"/>
    <col min="3" max="3" width="47.875" customWidth="1"/>
    <col min="4" max="4" width="53.75" customWidth="1"/>
    <col min="5" max="8" width="9.125" style="342"/>
    <col min="9" max="9" width="19.75" style="342" customWidth="1"/>
    <col min="10" max="27" width="9.125" style="342"/>
  </cols>
  <sheetData>
    <row r="1" spans="1:11" ht="14.3" customHeight="1">
      <c r="A1" s="777" t="s">
        <v>3596</v>
      </c>
      <c r="B1" s="778"/>
      <c r="C1" s="778"/>
      <c r="D1" s="779"/>
      <c r="E1" s="488"/>
      <c r="F1" s="786" t="s">
        <v>3597</v>
      </c>
      <c r="G1" s="787"/>
      <c r="H1" s="787"/>
      <c r="I1" s="788"/>
    </row>
    <row r="2" spans="1:11" ht="14.95" customHeight="1">
      <c r="A2" s="780"/>
      <c r="B2" s="781"/>
      <c r="C2" s="781"/>
      <c r="D2" s="782"/>
      <c r="E2" s="488"/>
      <c r="F2" s="789"/>
      <c r="G2" s="790"/>
      <c r="H2" s="790"/>
      <c r="I2" s="791"/>
    </row>
    <row r="3" spans="1:11" ht="14.95" customHeight="1" thickBot="1">
      <c r="A3" s="780"/>
      <c r="B3" s="781"/>
      <c r="C3" s="781"/>
      <c r="D3" s="782"/>
      <c r="E3" s="535"/>
      <c r="F3" s="792"/>
      <c r="G3" s="793"/>
      <c r="H3" s="793"/>
      <c r="I3" s="794"/>
    </row>
    <row r="4" spans="1:11" ht="13.6" customHeight="1">
      <c r="A4" s="780"/>
      <c r="B4" s="781"/>
      <c r="C4" s="781"/>
      <c r="D4" s="782"/>
      <c r="E4" s="488"/>
    </row>
    <row r="5" spans="1:11" ht="27" customHeight="1">
      <c r="A5" s="780"/>
      <c r="B5" s="781"/>
      <c r="C5" s="781"/>
      <c r="D5" s="782"/>
      <c r="E5" s="488"/>
    </row>
    <row r="6" spans="1:11" ht="2.25" hidden="1" customHeight="1">
      <c r="A6" s="780"/>
      <c r="B6" s="781"/>
      <c r="C6" s="781"/>
      <c r="D6" s="782"/>
      <c r="E6" s="488"/>
    </row>
    <row r="7" spans="1:11" ht="0.7" customHeight="1" thickBot="1">
      <c r="A7" s="783"/>
      <c r="B7" s="784"/>
      <c r="C7" s="784"/>
      <c r="D7" s="785"/>
      <c r="E7" s="529"/>
    </row>
    <row r="8" spans="1:11" ht="43.5" customHeight="1">
      <c r="A8" s="548"/>
      <c r="B8" s="538" t="s">
        <v>739</v>
      </c>
      <c r="C8" s="539" t="s">
        <v>2844</v>
      </c>
      <c r="D8" s="540" t="s">
        <v>2884</v>
      </c>
      <c r="E8" s="553"/>
    </row>
    <row r="9" spans="1:11" ht="45.7" customHeight="1">
      <c r="A9" s="549"/>
      <c r="B9" s="541" t="s">
        <v>3375</v>
      </c>
      <c r="C9" s="542" t="s">
        <v>2881</v>
      </c>
      <c r="D9" s="543" t="s">
        <v>2885</v>
      </c>
    </row>
    <row r="10" spans="1:11" ht="42.8" customHeight="1">
      <c r="A10" s="551"/>
      <c r="B10" s="544" t="s">
        <v>2878</v>
      </c>
      <c r="C10" s="545" t="s">
        <v>2882</v>
      </c>
      <c r="D10" s="544" t="s">
        <v>2886</v>
      </c>
      <c r="G10" s="342" t="s">
        <v>983</v>
      </c>
    </row>
    <row r="11" spans="1:11" ht="43.5" customHeight="1">
      <c r="A11" s="548"/>
      <c r="B11" s="545" t="s">
        <v>2879</v>
      </c>
      <c r="C11" s="545" t="s">
        <v>3590</v>
      </c>
      <c r="D11" s="753" t="s">
        <v>2887</v>
      </c>
      <c r="E11" s="488"/>
      <c r="F11" s="537"/>
      <c r="G11" s="488"/>
      <c r="H11" s="488"/>
      <c r="I11" s="488"/>
      <c r="J11" s="536"/>
      <c r="K11" s="488"/>
    </row>
    <row r="12" spans="1:11" ht="41.3" customHeight="1">
      <c r="A12" s="552"/>
      <c r="B12" s="541" t="s">
        <v>2880</v>
      </c>
      <c r="C12" s="544" t="s">
        <v>2843</v>
      </c>
      <c r="D12" s="752" t="s">
        <v>3589</v>
      </c>
      <c r="E12" s="488"/>
      <c r="F12" s="488"/>
      <c r="G12" s="488"/>
      <c r="H12" s="488"/>
      <c r="I12" s="488"/>
      <c r="J12" s="488"/>
      <c r="K12" s="488"/>
    </row>
    <row r="13" spans="1:11" s="342" customFormat="1" ht="39.75" customHeight="1">
      <c r="A13" s="550"/>
      <c r="B13" s="541" t="s">
        <v>3376</v>
      </c>
      <c r="C13" s="545" t="s">
        <v>2883</v>
      </c>
      <c r="D13" s="752" t="s">
        <v>3377</v>
      </c>
      <c r="E13" s="488"/>
      <c r="F13" s="488"/>
      <c r="G13" s="488"/>
      <c r="H13" s="488"/>
      <c r="I13" s="488"/>
      <c r="J13" s="488"/>
      <c r="K13" s="488"/>
    </row>
    <row r="14" spans="1:11" ht="9.6999999999999993" customHeight="1">
      <c r="A14" s="547"/>
      <c r="B14" s="547"/>
      <c r="C14" s="546"/>
      <c r="D14" s="760"/>
      <c r="E14" s="488"/>
      <c r="F14" s="488"/>
      <c r="G14" s="488"/>
      <c r="H14" s="488"/>
      <c r="I14" s="488"/>
      <c r="J14" s="488"/>
      <c r="K14" s="488"/>
    </row>
    <row r="15" spans="1:11">
      <c r="A15" s="182"/>
      <c r="B15" s="182"/>
      <c r="D15" s="131"/>
      <c r="E15" s="488"/>
      <c r="F15" s="488"/>
      <c r="G15" s="488"/>
      <c r="H15" s="488"/>
      <c r="I15" s="488"/>
      <c r="J15" s="488"/>
      <c r="K15" s="488"/>
    </row>
    <row r="16" spans="1:11">
      <c r="D16" s="131"/>
      <c r="E16" s="488"/>
      <c r="F16" s="488"/>
      <c r="G16" s="488"/>
      <c r="H16" s="488"/>
      <c r="I16" s="488"/>
      <c r="J16" s="488"/>
      <c r="K16" s="488"/>
    </row>
    <row r="17" spans="1:4" ht="13.6" customHeight="1">
      <c r="A17" s="183"/>
      <c r="B17" s="183"/>
      <c r="D17" s="131"/>
    </row>
  </sheetData>
  <mergeCells count="2">
    <mergeCell ref="A1:D7"/>
    <mergeCell ref="F1:I3"/>
  </mergeCells>
  <hyperlinks>
    <hyperlink ref="B8" location="'ЛП лоток перф'!R1C1" display="1. Лоток перфорированный" xr:uid="{00000000-0004-0000-0000-000000000000}"/>
    <hyperlink ref="B9" location="'ЛГ лоток глухой'!R1C1" display="2. Лоток глухой" xr:uid="{00000000-0004-0000-0000-000001000000}"/>
    <hyperlink ref="C8" location="'Аксессуары (углы,повороты)'!A1" display="6. Аксессуары" xr:uid="{00000000-0004-0000-0000-000002000000}"/>
    <hyperlink ref="C12" location="Крепеж!A1" display="10. Крепеж" xr:uid="{00000000-0004-0000-0000-000003000000}"/>
    <hyperlink ref="C13" location="'Страт-профиль'!A1" display="11. Старт-Профиль" xr:uid="{00000000-0004-0000-0000-000004000000}"/>
    <hyperlink ref="D8" location="'Страт-консоли'!A1" display="12. Старт-Консоли" xr:uid="{00000000-0004-0000-0000-000005000000}"/>
    <hyperlink ref="D9" location="'Страт-стойки'!A1" display="13. Старт-Стойки" xr:uid="{00000000-0004-0000-0000-000006000000}"/>
    <hyperlink ref="D10" location="'Страт-монтажные элементы'!A1" display="14. Страт-монтажные элементы" xr:uid="{00000000-0004-0000-0000-000007000000}"/>
    <hyperlink ref="D11" location="'Пожарные шкафы'!A1" display="17. Пожарные шкафы" xr:uid="{00000000-0004-0000-0000-000008000000}"/>
    <hyperlink ref="B10" location="'НЛ Лестничный лоток'!A1" display="8. Лестничный лоток" xr:uid="{00000000-0004-0000-0000-000009000000}"/>
    <hyperlink ref="B11" location="'Проволчный лоток'!A1" display="7. Проволочный лоток" xr:uid="{00000000-0004-0000-0000-00000A000000}"/>
    <hyperlink ref="B13" location="'Профиля U,Z,L'!A1" display="5. Профиль для монтажа" xr:uid="{00000000-0004-0000-0000-00000B000000}"/>
    <hyperlink ref="B12" location="'КЛ Крышка лотка'!R1C1" display="3. Крышка лотка" xr:uid="{00000000-0004-0000-0000-00000C000000}"/>
    <hyperlink ref="C9" location="'ГЭМ Полки,Стойки '!A1" display="4. Полки, стойки, ГЭМ" xr:uid="{00000000-0004-0000-0000-00000D000000}"/>
    <hyperlink ref="C10" location="'Системы подвеса'!A1" display="9. Системы подвеса" xr:uid="{00000000-0004-0000-0000-00000E000000}"/>
    <hyperlink ref="C11" location="'Перегородка и заглушка'!R1C1" display="10. Перегородки и заглушки" xr:uid="{00000000-0004-0000-0000-00000F000000}"/>
    <hyperlink ref="D12" location="'Щитовое оборудование'!A1" display="17. Щитовое оборудование" xr:uid="{00000000-0004-0000-0000-000010000000}"/>
    <hyperlink ref="D13" location="'Щитовое оборудование'!A1" display="17. Щитовое оборудование" xr:uid="{00000000-0004-0000-0000-000011000000}"/>
    <hyperlink ref="A1" r:id="rId1" display="zakaz@elkan.ru " xr:uid="{3633128C-2699-40E9-955C-32B2DF5A6B2F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4">
    <pageSetUpPr fitToPage="1"/>
  </sheetPr>
  <dimension ref="A1:K164"/>
  <sheetViews>
    <sheetView zoomScale="90" zoomScaleNormal="90" workbookViewId="0">
      <pane ySplit="2" topLeftCell="A3" activePane="bottomLeft" state="frozen"/>
      <selection pane="bottomLeft" activeCell="E1" sqref="E1:E2"/>
    </sheetView>
  </sheetViews>
  <sheetFormatPr defaultColWidth="9.125" defaultRowHeight="14.3"/>
  <cols>
    <col min="1" max="1" width="49.625" style="259" customWidth="1"/>
    <col min="2" max="2" width="12.125" style="356" customWidth="1"/>
    <col min="3" max="3" width="18.875" style="200" customWidth="1"/>
    <col min="4" max="4" width="15" style="200" bestFit="1" customWidth="1"/>
    <col min="5" max="5" width="17" style="200" customWidth="1"/>
    <col min="6" max="6" width="36.625" style="200" bestFit="1" customWidth="1"/>
    <col min="7" max="16384" width="9.125" style="200"/>
  </cols>
  <sheetData>
    <row r="1" spans="1:11" ht="19.55" customHeight="1" thickBot="1">
      <c r="A1" s="865" t="s">
        <v>2</v>
      </c>
      <c r="B1" s="867" t="s">
        <v>2300</v>
      </c>
      <c r="C1" s="868" t="s">
        <v>2275</v>
      </c>
      <c r="D1" s="869" t="s">
        <v>2301</v>
      </c>
      <c r="E1" s="797" t="s">
        <v>2304</v>
      </c>
      <c r="F1" s="795" t="s">
        <v>3413</v>
      </c>
    </row>
    <row r="2" spans="1:11" ht="20.25" customHeight="1" thickTop="1" thickBot="1">
      <c r="A2" s="866"/>
      <c r="B2" s="867"/>
      <c r="C2" s="868"/>
      <c r="D2" s="869"/>
      <c r="E2" s="798"/>
      <c r="F2" s="796"/>
    </row>
    <row r="3" spans="1:11" ht="19.7" thickBot="1">
      <c r="A3" s="613" t="s">
        <v>2303</v>
      </c>
      <c r="B3" s="867"/>
      <c r="C3" s="868"/>
      <c r="D3" s="869"/>
    </row>
    <row r="4" spans="1:11" ht="14.95" customHeight="1">
      <c r="A4" s="426" t="s">
        <v>3526</v>
      </c>
      <c r="B4" s="427">
        <v>126.72824231074219</v>
      </c>
      <c r="C4" s="627">
        <v>283.2748945769531</v>
      </c>
      <c r="D4" s="589">
        <v>775.27865884218772</v>
      </c>
      <c r="E4" s="201"/>
      <c r="F4" s="201"/>
      <c r="G4" s="201"/>
      <c r="H4" s="201"/>
      <c r="I4" s="201"/>
      <c r="J4" s="201"/>
      <c r="K4" s="201"/>
    </row>
    <row r="5" spans="1:11" ht="16.3">
      <c r="A5" s="428" t="s">
        <v>3528</v>
      </c>
      <c r="B5" s="429">
        <v>126.72824231074219</v>
      </c>
      <c r="C5" s="628">
        <v>283.2748945769531</v>
      </c>
      <c r="D5" s="590">
        <v>775.27865884218772</v>
      </c>
      <c r="E5" s="201"/>
      <c r="F5" s="201"/>
      <c r="G5" s="201"/>
      <c r="H5" s="201"/>
      <c r="I5" s="201"/>
      <c r="J5" s="201"/>
      <c r="K5" s="201"/>
    </row>
    <row r="6" spans="1:11" ht="16.3">
      <c r="A6" s="428" t="s">
        <v>3527</v>
      </c>
      <c r="B6" s="429">
        <v>139.61586017285157</v>
      </c>
      <c r="C6" s="628">
        <v>312.08251097460936</v>
      </c>
      <c r="D6" s="590">
        <v>854.12055635156253</v>
      </c>
      <c r="E6" s="201"/>
      <c r="F6" s="201"/>
      <c r="G6" s="201"/>
      <c r="H6" s="201"/>
      <c r="I6" s="201"/>
      <c r="J6" s="201"/>
      <c r="K6" s="201"/>
    </row>
    <row r="7" spans="1:11" ht="16.3">
      <c r="A7" s="428" t="s">
        <v>3529</v>
      </c>
      <c r="B7" s="429">
        <v>136.39395570732421</v>
      </c>
      <c r="C7" s="628">
        <v>304.88060687519527</v>
      </c>
      <c r="D7" s="590">
        <v>834.41008197421877</v>
      </c>
      <c r="E7" s="201"/>
      <c r="F7" s="201"/>
      <c r="G7" s="201"/>
      <c r="H7" s="201"/>
      <c r="I7" s="201"/>
      <c r="J7" s="201"/>
      <c r="K7" s="201"/>
    </row>
    <row r="8" spans="1:11" ht="16.3">
      <c r="A8" s="428" t="s">
        <v>3530</v>
      </c>
      <c r="B8" s="429">
        <v>176.13077744882813</v>
      </c>
      <c r="C8" s="628">
        <v>393.70409076796875</v>
      </c>
      <c r="D8" s="590">
        <v>1077.5059326281253</v>
      </c>
      <c r="E8" s="201"/>
      <c r="F8" s="201"/>
      <c r="G8" s="201"/>
      <c r="H8" s="201"/>
      <c r="I8" s="201"/>
      <c r="J8" s="201"/>
      <c r="K8" s="201"/>
    </row>
    <row r="9" spans="1:11" ht="16.3">
      <c r="A9" s="428" t="s">
        <v>3531</v>
      </c>
      <c r="B9" s="429">
        <v>198.46931507648438</v>
      </c>
      <c r="C9" s="628">
        <v>443.63729252390624</v>
      </c>
      <c r="D9" s="590">
        <v>1214.1652216443754</v>
      </c>
      <c r="E9" s="201"/>
      <c r="F9" s="201"/>
      <c r="G9" s="201"/>
      <c r="H9" s="201"/>
      <c r="I9" s="201"/>
      <c r="J9" s="201"/>
      <c r="K9" s="201"/>
    </row>
    <row r="10" spans="1:11" ht="16.3">
      <c r="A10" s="428" t="s">
        <v>3532</v>
      </c>
      <c r="B10" s="429">
        <v>236.96033375798439</v>
      </c>
      <c r="C10" s="628">
        <v>529.67604016490623</v>
      </c>
      <c r="D10" s="590">
        <v>1449.6396888723752</v>
      </c>
      <c r="E10" s="201"/>
      <c r="F10" s="201"/>
      <c r="G10" s="201"/>
      <c r="H10" s="201"/>
      <c r="I10" s="201"/>
      <c r="J10" s="201"/>
      <c r="K10" s="201"/>
    </row>
    <row r="11" spans="1:11" ht="16.3">
      <c r="A11" s="428" t="s">
        <v>3533</v>
      </c>
      <c r="B11" s="429">
        <v>264.6257534353125</v>
      </c>
      <c r="C11" s="628">
        <v>591.51639003187506</v>
      </c>
      <c r="D11" s="590">
        <v>1618.8869621925001</v>
      </c>
      <c r="E11" s="201"/>
      <c r="F11" s="201"/>
      <c r="G11" s="201"/>
      <c r="H11" s="201"/>
      <c r="I11" s="201"/>
      <c r="J11" s="201"/>
      <c r="K11" s="201"/>
    </row>
    <row r="12" spans="1:11" ht="16.3">
      <c r="A12" s="428" t="s">
        <v>3534</v>
      </c>
      <c r="B12" s="429">
        <v>317.55090412237502</v>
      </c>
      <c r="C12" s="628">
        <v>709.81966803825003</v>
      </c>
      <c r="D12" s="590">
        <v>1942.6643546310002</v>
      </c>
      <c r="E12" s="201"/>
      <c r="F12" s="201"/>
      <c r="G12" s="201"/>
      <c r="H12" s="201"/>
      <c r="I12" s="201"/>
      <c r="J12" s="201"/>
      <c r="K12" s="201"/>
    </row>
    <row r="13" spans="1:11" ht="16.3">
      <c r="A13" s="428" t="s">
        <v>3535</v>
      </c>
      <c r="B13" s="429">
        <v>375.88885431152346</v>
      </c>
      <c r="C13" s="628">
        <v>840.2221449316404</v>
      </c>
      <c r="D13" s="590">
        <v>2299.5553440234376</v>
      </c>
      <c r="E13" s="201"/>
      <c r="F13" s="201"/>
      <c r="G13" s="201"/>
      <c r="H13" s="201"/>
      <c r="I13" s="201"/>
      <c r="J13" s="201"/>
      <c r="K13" s="201"/>
    </row>
    <row r="14" spans="1:11" ht="16.3">
      <c r="A14" s="428" t="s">
        <v>3536</v>
      </c>
      <c r="B14" s="429">
        <v>388.51871981639067</v>
      </c>
      <c r="C14" s="628">
        <v>868.45360900134369</v>
      </c>
      <c r="D14" s="590">
        <v>2376.8204035826252</v>
      </c>
      <c r="E14" s="201"/>
      <c r="F14" s="201"/>
      <c r="G14" s="201"/>
      <c r="H14" s="201"/>
      <c r="I14" s="201"/>
      <c r="J14" s="201"/>
      <c r="K14" s="201"/>
    </row>
    <row r="15" spans="1:11" ht="16.3">
      <c r="A15" s="428" t="s">
        <v>3537</v>
      </c>
      <c r="B15" s="429">
        <v>470.39805196699228</v>
      </c>
      <c r="C15" s="628">
        <v>1051.4779985144532</v>
      </c>
      <c r="D15" s="590">
        <v>2877.7292590921884</v>
      </c>
      <c r="E15" s="201"/>
      <c r="F15" s="201"/>
      <c r="G15" s="201"/>
      <c r="H15" s="201"/>
      <c r="I15" s="201"/>
      <c r="J15" s="201"/>
      <c r="K15" s="201"/>
    </row>
    <row r="16" spans="1:11" ht="16.3">
      <c r="A16" s="428" t="s">
        <v>3538</v>
      </c>
      <c r="B16" s="429">
        <v>515.50471448437497</v>
      </c>
      <c r="C16" s="628">
        <v>1152.30465590625</v>
      </c>
      <c r="D16" s="590">
        <v>3153.6759003749994</v>
      </c>
      <c r="E16" s="201"/>
      <c r="F16" s="201"/>
      <c r="G16" s="201"/>
      <c r="H16" s="201"/>
      <c r="I16" s="201"/>
      <c r="J16" s="201"/>
      <c r="K16" s="201"/>
    </row>
    <row r="17" spans="1:11" ht="16.3">
      <c r="A17" s="428" t="s">
        <v>3539</v>
      </c>
      <c r="B17" s="429">
        <v>136.39395570732424</v>
      </c>
      <c r="C17" s="628">
        <v>304.88060687519527</v>
      </c>
      <c r="D17" s="590">
        <v>834.41008197421877</v>
      </c>
      <c r="E17" s="201"/>
      <c r="F17" s="201"/>
      <c r="G17" s="201"/>
      <c r="H17" s="201"/>
      <c r="I17" s="201"/>
      <c r="J17" s="201"/>
      <c r="K17" s="201"/>
    </row>
    <row r="18" spans="1:11" ht="16.3">
      <c r="A18" s="428" t="s">
        <v>3540</v>
      </c>
      <c r="B18" s="429">
        <v>182.83233873712504</v>
      </c>
      <c r="C18" s="628">
        <v>408.68405129475002</v>
      </c>
      <c r="D18" s="590">
        <v>1118.5037193330002</v>
      </c>
      <c r="E18" s="201"/>
      <c r="F18" s="201"/>
      <c r="G18" s="201"/>
      <c r="H18" s="201"/>
      <c r="I18" s="201"/>
      <c r="J18" s="201"/>
      <c r="K18" s="201"/>
    </row>
    <row r="19" spans="1:11" ht="16.3">
      <c r="A19" s="428" t="s">
        <v>3541</v>
      </c>
      <c r="B19" s="429">
        <v>199.75807686269525</v>
      </c>
      <c r="C19" s="628">
        <v>446.51805416367182</v>
      </c>
      <c r="D19" s="590">
        <v>1222.0494113953125</v>
      </c>
      <c r="E19" s="201"/>
      <c r="F19" s="201"/>
      <c r="G19" s="201"/>
      <c r="H19" s="201"/>
      <c r="I19" s="201"/>
      <c r="J19" s="201"/>
      <c r="K19" s="201"/>
    </row>
    <row r="20" spans="1:11" ht="16.3">
      <c r="A20" s="428" t="s">
        <v>3542</v>
      </c>
      <c r="B20" s="429">
        <v>236.96033375798439</v>
      </c>
      <c r="C20" s="628">
        <v>529.67604016490623</v>
      </c>
      <c r="D20" s="590">
        <v>1449.6396888723752</v>
      </c>
      <c r="E20" s="201"/>
      <c r="F20" s="201"/>
      <c r="G20" s="201"/>
      <c r="H20" s="201"/>
      <c r="I20" s="201"/>
      <c r="J20" s="201"/>
      <c r="K20" s="201"/>
    </row>
    <row r="21" spans="1:11" ht="16.3">
      <c r="A21" s="428" t="s">
        <v>3543</v>
      </c>
      <c r="B21" s="429">
        <v>281.37965665605469</v>
      </c>
      <c r="C21" s="628">
        <v>628.96629134882812</v>
      </c>
      <c r="D21" s="590">
        <v>1721.3814289546876</v>
      </c>
      <c r="E21" s="201"/>
      <c r="F21" s="201"/>
      <c r="G21" s="201"/>
      <c r="H21" s="201"/>
      <c r="I21" s="201"/>
      <c r="J21" s="201"/>
      <c r="K21" s="201"/>
    </row>
    <row r="22" spans="1:11" ht="16.3">
      <c r="A22" s="428" t="s">
        <v>3544</v>
      </c>
      <c r="B22" s="429">
        <v>316.82060577685542</v>
      </c>
      <c r="C22" s="628">
        <v>708.18723644238287</v>
      </c>
      <c r="D22" s="590">
        <v>1938.1966471054689</v>
      </c>
      <c r="E22" s="201"/>
      <c r="F22" s="201"/>
      <c r="G22" s="201"/>
      <c r="H22" s="201"/>
      <c r="I22" s="201"/>
      <c r="J22" s="201"/>
      <c r="K22" s="201"/>
    </row>
    <row r="23" spans="1:11" ht="16.3">
      <c r="A23" s="428" t="s">
        <v>3545</v>
      </c>
      <c r="B23" s="429">
        <v>407.76422915714073</v>
      </c>
      <c r="C23" s="628">
        <v>911.47298282184374</v>
      </c>
      <c r="D23" s="590">
        <v>2494.5576371966254</v>
      </c>
      <c r="E23" s="201"/>
      <c r="F23" s="201"/>
      <c r="G23" s="201"/>
      <c r="H23" s="201"/>
      <c r="I23" s="201"/>
      <c r="J23" s="201"/>
      <c r="K23" s="201"/>
    </row>
    <row r="24" spans="1:11" ht="16.3">
      <c r="A24" s="428" t="s">
        <v>3546</v>
      </c>
      <c r="B24" s="429">
        <v>383.40663139775387</v>
      </c>
      <c r="C24" s="628">
        <v>857.02658783027368</v>
      </c>
      <c r="D24" s="590">
        <v>2345.5464509039057</v>
      </c>
      <c r="E24" s="201"/>
      <c r="F24" s="201"/>
      <c r="G24" s="201"/>
      <c r="H24" s="201"/>
      <c r="I24" s="201"/>
      <c r="J24" s="201"/>
      <c r="K24" s="201"/>
    </row>
    <row r="25" spans="1:11" ht="16.3">
      <c r="A25" s="428" t="s">
        <v>3547</v>
      </c>
      <c r="B25" s="429">
        <v>451.06662517382807</v>
      </c>
      <c r="C25" s="628">
        <v>1008.2665739179687</v>
      </c>
      <c r="D25" s="590">
        <v>2759.4664128281256</v>
      </c>
      <c r="E25" s="201"/>
      <c r="F25" s="201"/>
      <c r="G25" s="201"/>
      <c r="H25" s="201"/>
      <c r="I25" s="201"/>
      <c r="J25" s="201"/>
      <c r="K25" s="201"/>
    </row>
    <row r="26" spans="1:11" ht="16.3">
      <c r="A26" s="428" t="s">
        <v>3548</v>
      </c>
      <c r="B26" s="429">
        <v>468.25011565664062</v>
      </c>
      <c r="C26" s="628">
        <v>1046.6767291148437</v>
      </c>
      <c r="D26" s="590">
        <v>2864.5889428406254</v>
      </c>
      <c r="E26" s="201"/>
      <c r="F26" s="201"/>
      <c r="G26" s="201"/>
      <c r="H26" s="201"/>
      <c r="I26" s="201"/>
      <c r="J26" s="201"/>
      <c r="K26" s="201"/>
    </row>
    <row r="27" spans="1:11" ht="16.3">
      <c r="A27" s="428" t="s">
        <v>3549</v>
      </c>
      <c r="B27" s="429">
        <v>515.50471448437497</v>
      </c>
      <c r="C27" s="628">
        <v>1152.30465590625</v>
      </c>
      <c r="D27" s="590">
        <v>3153.6759003749994</v>
      </c>
      <c r="E27" s="201"/>
      <c r="F27" s="201"/>
      <c r="G27" s="201"/>
      <c r="H27" s="201"/>
      <c r="I27" s="201"/>
      <c r="J27" s="201"/>
      <c r="K27" s="201"/>
    </row>
    <row r="28" spans="1:11" ht="16.3">
      <c r="A28" s="428" t="s">
        <v>3550</v>
      </c>
      <c r="B28" s="429">
        <v>547.72375913964845</v>
      </c>
      <c r="C28" s="628">
        <v>1224.3236969003906</v>
      </c>
      <c r="D28" s="590">
        <v>3350.7806441484381</v>
      </c>
      <c r="E28" s="201"/>
      <c r="F28" s="201"/>
      <c r="G28" s="201"/>
      <c r="H28" s="201"/>
      <c r="I28" s="201"/>
      <c r="J28" s="201"/>
      <c r="K28" s="201"/>
    </row>
    <row r="29" spans="1:11" ht="16.3">
      <c r="A29" s="428" t="s">
        <v>3551</v>
      </c>
      <c r="B29" s="429">
        <v>199.75807686269525</v>
      </c>
      <c r="C29" s="628">
        <v>446.51805416367182</v>
      </c>
      <c r="D29" s="590">
        <v>1222.0494113953125</v>
      </c>
      <c r="E29" s="201"/>
      <c r="F29" s="201"/>
      <c r="G29" s="201"/>
      <c r="H29" s="201"/>
      <c r="I29" s="201"/>
      <c r="J29" s="201"/>
      <c r="K29" s="201"/>
    </row>
    <row r="30" spans="1:11" ht="16.3">
      <c r="A30" s="428" t="s">
        <v>3552</v>
      </c>
      <c r="B30" s="429">
        <v>209.42379025927733</v>
      </c>
      <c r="C30" s="628">
        <v>468.12376646191404</v>
      </c>
      <c r="D30" s="590">
        <v>1281.1808345273439</v>
      </c>
      <c r="E30" s="201"/>
      <c r="F30" s="201"/>
      <c r="G30" s="201"/>
      <c r="H30" s="201"/>
      <c r="I30" s="201"/>
      <c r="J30" s="201"/>
      <c r="K30" s="201"/>
    </row>
    <row r="31" spans="1:11" ht="16.3">
      <c r="A31" s="428" t="s">
        <v>3553</v>
      </c>
      <c r="B31" s="429">
        <v>240.56886675937506</v>
      </c>
      <c r="C31" s="628">
        <v>537.74217275624994</v>
      </c>
      <c r="D31" s="590">
        <v>1471.715420175</v>
      </c>
      <c r="E31" s="201"/>
      <c r="F31" s="201"/>
      <c r="G31" s="201"/>
      <c r="H31" s="201"/>
      <c r="I31" s="201"/>
      <c r="J31" s="201"/>
      <c r="K31" s="201"/>
    </row>
    <row r="32" spans="1:11" ht="16.3">
      <c r="A32" s="428" t="s">
        <v>3554</v>
      </c>
      <c r="B32" s="429">
        <v>287.82346558710935</v>
      </c>
      <c r="C32" s="628">
        <v>643.37009954765631</v>
      </c>
      <c r="D32" s="590">
        <v>1760.8023777093752</v>
      </c>
      <c r="E32" s="201"/>
      <c r="F32" s="201"/>
      <c r="G32" s="201"/>
      <c r="H32" s="201"/>
      <c r="I32" s="201"/>
      <c r="J32" s="201"/>
      <c r="K32" s="201"/>
    </row>
    <row r="33" spans="1:11" ht="16.3">
      <c r="A33" s="428" t="s">
        <v>3555</v>
      </c>
      <c r="B33" s="429">
        <v>319.95659278996874</v>
      </c>
      <c r="C33" s="628">
        <v>715.19708976581239</v>
      </c>
      <c r="D33" s="590">
        <v>1957.3815088327503</v>
      </c>
      <c r="E33" s="201"/>
      <c r="F33" s="201"/>
      <c r="G33" s="201"/>
      <c r="H33" s="201"/>
      <c r="I33" s="201"/>
      <c r="J33" s="201"/>
      <c r="K33" s="201"/>
    </row>
    <row r="34" spans="1:11" ht="16.3">
      <c r="A34" s="428" t="s">
        <v>3556</v>
      </c>
      <c r="B34" s="429">
        <v>375.88885431152346</v>
      </c>
      <c r="C34" s="628">
        <v>840.2221449316404</v>
      </c>
      <c r="D34" s="590">
        <v>2299.5553440234376</v>
      </c>
      <c r="E34" s="201"/>
      <c r="F34" s="201"/>
      <c r="G34" s="201"/>
      <c r="H34" s="201"/>
      <c r="I34" s="201"/>
      <c r="J34" s="201"/>
      <c r="K34" s="201"/>
    </row>
    <row r="35" spans="1:11" ht="16.3">
      <c r="A35" s="428" t="s">
        <v>3557</v>
      </c>
      <c r="B35" s="429">
        <v>425.29138944960937</v>
      </c>
      <c r="C35" s="628">
        <v>950.65134112265628</v>
      </c>
      <c r="D35" s="590">
        <v>2601.7826178093756</v>
      </c>
      <c r="E35" s="201"/>
      <c r="F35" s="201"/>
      <c r="G35" s="201"/>
      <c r="H35" s="201"/>
      <c r="I35" s="201"/>
      <c r="J35" s="201"/>
      <c r="K35" s="201"/>
    </row>
    <row r="36" spans="1:11" ht="16.3">
      <c r="A36" s="428" t="s">
        <v>3558</v>
      </c>
      <c r="B36" s="429">
        <v>470.39805196699228</v>
      </c>
      <c r="C36" s="628">
        <v>1051.4779985144532</v>
      </c>
      <c r="D36" s="590">
        <v>2877.7292590921884</v>
      </c>
      <c r="E36" s="201"/>
      <c r="F36" s="201"/>
      <c r="G36" s="201"/>
      <c r="H36" s="201"/>
      <c r="I36" s="201"/>
      <c r="J36" s="201"/>
      <c r="K36" s="201"/>
    </row>
    <row r="37" spans="1:11" ht="16.3">
      <c r="A37" s="428" t="s">
        <v>3559</v>
      </c>
      <c r="B37" s="429">
        <v>547.72375913964845</v>
      </c>
      <c r="C37" s="628">
        <v>1224.3236969003906</v>
      </c>
      <c r="D37" s="590">
        <v>3350.7806441484381</v>
      </c>
      <c r="E37" s="201"/>
      <c r="F37" s="201"/>
      <c r="G37" s="201"/>
      <c r="H37" s="201"/>
      <c r="I37" s="201"/>
      <c r="J37" s="201"/>
      <c r="K37" s="201"/>
    </row>
    <row r="38" spans="1:11" ht="16.3">
      <c r="A38" s="428" t="s">
        <v>3560</v>
      </c>
      <c r="B38" s="429">
        <v>637.93708417441394</v>
      </c>
      <c r="C38" s="628">
        <v>1425.9770116839845</v>
      </c>
      <c r="D38" s="590">
        <v>3902.6739267140624</v>
      </c>
      <c r="E38" s="201"/>
      <c r="F38" s="201"/>
      <c r="G38" s="201"/>
      <c r="H38" s="201"/>
      <c r="I38" s="201"/>
      <c r="J38" s="201"/>
      <c r="K38" s="201"/>
    </row>
    <row r="39" spans="1:11" ht="16.3">
      <c r="A39" s="428" t="s">
        <v>3561</v>
      </c>
      <c r="B39" s="429">
        <v>266.3441024835937</v>
      </c>
      <c r="C39" s="628">
        <v>595.35740555156235</v>
      </c>
      <c r="D39" s="590">
        <v>1629.3992151937503</v>
      </c>
      <c r="E39" s="201"/>
      <c r="F39" s="201"/>
      <c r="G39" s="201"/>
      <c r="H39" s="201"/>
      <c r="I39" s="201"/>
      <c r="J39" s="201"/>
      <c r="K39" s="201"/>
    </row>
    <row r="40" spans="1:11" ht="16.3">
      <c r="A40" s="428" t="s">
        <v>3562</v>
      </c>
      <c r="B40" s="429">
        <v>282.6684184422657</v>
      </c>
      <c r="C40" s="628">
        <v>631.84705298859387</v>
      </c>
      <c r="D40" s="590">
        <v>1729.2656187056252</v>
      </c>
      <c r="E40" s="201"/>
      <c r="F40" s="201"/>
      <c r="G40" s="201"/>
      <c r="H40" s="201"/>
      <c r="I40" s="201"/>
      <c r="J40" s="201"/>
      <c r="K40" s="201"/>
    </row>
    <row r="41" spans="1:11" ht="16.3">
      <c r="A41" s="428" t="s">
        <v>3563</v>
      </c>
      <c r="B41" s="429">
        <v>292.11933820781246</v>
      </c>
      <c r="C41" s="628">
        <v>652.97263834687499</v>
      </c>
      <c r="D41" s="590">
        <v>1787.0830102125003</v>
      </c>
      <c r="E41" s="201"/>
      <c r="F41" s="201"/>
      <c r="G41" s="201"/>
      <c r="H41" s="201"/>
      <c r="I41" s="201"/>
      <c r="J41" s="201"/>
      <c r="K41" s="201"/>
    </row>
    <row r="42" spans="1:11" ht="16.3">
      <c r="A42" s="428" t="s">
        <v>3564</v>
      </c>
      <c r="B42" s="429">
        <v>316.82060577685542</v>
      </c>
      <c r="C42" s="628">
        <v>708.18723644238287</v>
      </c>
      <c r="D42" s="590">
        <v>1938.1966471054689</v>
      </c>
      <c r="E42" s="201"/>
      <c r="F42" s="201"/>
      <c r="G42" s="201"/>
      <c r="H42" s="201"/>
      <c r="I42" s="201"/>
      <c r="J42" s="201"/>
      <c r="K42" s="201"/>
    </row>
    <row r="43" spans="1:11" ht="16.3">
      <c r="A43" s="428" t="s">
        <v>3565</v>
      </c>
      <c r="B43" s="429">
        <v>382.33266324257812</v>
      </c>
      <c r="C43" s="628">
        <v>854.62595313046859</v>
      </c>
      <c r="D43" s="590">
        <v>2338.9762927781253</v>
      </c>
      <c r="E43" s="201"/>
      <c r="F43" s="201"/>
      <c r="G43" s="201"/>
      <c r="H43" s="201"/>
      <c r="I43" s="201"/>
      <c r="J43" s="201"/>
      <c r="K43" s="201"/>
    </row>
    <row r="44" spans="1:11" ht="16.3">
      <c r="A44" s="428" t="s">
        <v>3566</v>
      </c>
      <c r="B44" s="429">
        <v>496.17328769121104</v>
      </c>
      <c r="C44" s="628">
        <v>1109.0932313097655</v>
      </c>
      <c r="D44" s="590">
        <v>3035.4130541109371</v>
      </c>
      <c r="E44" s="201"/>
      <c r="F44" s="201"/>
      <c r="G44" s="201"/>
      <c r="H44" s="201"/>
      <c r="I44" s="201"/>
      <c r="J44" s="201"/>
      <c r="K44" s="201"/>
    </row>
    <row r="45" spans="1:11" ht="16.3">
      <c r="A45" s="428" t="s">
        <v>3567</v>
      </c>
      <c r="B45" s="429">
        <v>571.35105855351571</v>
      </c>
      <c r="C45" s="628">
        <v>1277.1376602960941</v>
      </c>
      <c r="D45" s="590">
        <v>3495.3241229156247</v>
      </c>
      <c r="E45" s="201"/>
      <c r="F45" s="201"/>
      <c r="G45" s="201"/>
      <c r="H45" s="201"/>
      <c r="I45" s="201"/>
      <c r="J45" s="201"/>
      <c r="K45" s="201"/>
    </row>
    <row r="46" spans="1:11" ht="17" thickBot="1">
      <c r="A46" s="428" t="s">
        <v>3568</v>
      </c>
      <c r="B46" s="429">
        <v>685.19168300214847</v>
      </c>
      <c r="C46" s="628">
        <v>1531.6049384753908</v>
      </c>
      <c r="D46" s="590">
        <v>4191.7608842484387</v>
      </c>
      <c r="E46" s="201"/>
      <c r="F46" s="201"/>
      <c r="G46" s="201"/>
      <c r="H46" s="201"/>
      <c r="I46" s="201"/>
      <c r="J46" s="201"/>
      <c r="K46" s="201"/>
    </row>
    <row r="47" spans="1:11" ht="19.7" thickBot="1">
      <c r="A47" s="614" t="s">
        <v>3523</v>
      </c>
      <c r="B47" s="863"/>
      <c r="C47" s="864"/>
      <c r="D47" s="864"/>
      <c r="E47" s="201"/>
      <c r="F47" s="201"/>
      <c r="G47" s="201"/>
      <c r="H47" s="201"/>
      <c r="I47" s="201"/>
      <c r="J47" s="201"/>
      <c r="K47" s="201"/>
    </row>
    <row r="48" spans="1:11" ht="16.3">
      <c r="A48" s="428" t="s">
        <v>3569</v>
      </c>
      <c r="B48" s="429">
        <v>171.83490482812502</v>
      </c>
      <c r="C48" s="628">
        <v>384.10155196875002</v>
      </c>
      <c r="D48" s="591">
        <v>1617.2696925000005</v>
      </c>
      <c r="E48" s="201"/>
      <c r="F48" s="201"/>
      <c r="G48" s="201"/>
      <c r="H48" s="201"/>
      <c r="I48" s="201"/>
      <c r="J48" s="201"/>
      <c r="K48" s="201"/>
    </row>
    <row r="49" spans="1:11" ht="16.3">
      <c r="A49" s="428" t="s">
        <v>3570</v>
      </c>
      <c r="B49" s="429">
        <v>233.05108967314456</v>
      </c>
      <c r="C49" s="628">
        <v>520.93772985761711</v>
      </c>
      <c r="D49" s="591">
        <v>2193.4220204531257</v>
      </c>
      <c r="E49" s="201"/>
      <c r="F49" s="201"/>
      <c r="G49" s="201"/>
      <c r="H49" s="201"/>
      <c r="I49" s="201"/>
      <c r="J49" s="201"/>
      <c r="K49" s="201"/>
    </row>
    <row r="50" spans="1:11" ht="16.3">
      <c r="A50" s="428" t="s">
        <v>3571</v>
      </c>
      <c r="B50" s="429">
        <v>247.01267569042969</v>
      </c>
      <c r="C50" s="628">
        <v>552.14598095507824</v>
      </c>
      <c r="D50" s="591">
        <v>2324.8251829687501</v>
      </c>
      <c r="E50" s="201"/>
      <c r="F50" s="201"/>
      <c r="G50" s="201"/>
      <c r="H50" s="201"/>
      <c r="I50" s="201"/>
      <c r="J50" s="201"/>
      <c r="K50" s="201"/>
    </row>
    <row r="51" spans="1:11" ht="16.3">
      <c r="A51" s="428" t="s">
        <v>3588</v>
      </c>
      <c r="B51" s="429">
        <v>330.78219179414066</v>
      </c>
      <c r="C51" s="628">
        <v>739.39548753984366</v>
      </c>
      <c r="D51" s="591">
        <v>3113.2441580625</v>
      </c>
      <c r="E51" s="201"/>
      <c r="F51" s="201"/>
      <c r="G51" s="201"/>
      <c r="H51" s="201"/>
      <c r="I51" s="201"/>
      <c r="J51" s="201"/>
      <c r="K51" s="201"/>
    </row>
    <row r="52" spans="1:11" ht="16.3">
      <c r="A52" s="428" t="s">
        <v>3587</v>
      </c>
      <c r="B52" s="429">
        <v>395.22028110468761</v>
      </c>
      <c r="C52" s="628">
        <v>883.43356952812496</v>
      </c>
      <c r="D52" s="591">
        <v>3719.7202927500002</v>
      </c>
      <c r="E52" s="201"/>
      <c r="F52" s="201"/>
      <c r="G52" s="201"/>
      <c r="H52" s="201"/>
      <c r="I52" s="201"/>
      <c r="J52" s="201"/>
      <c r="K52" s="201"/>
    </row>
    <row r="53" spans="1:11" ht="16.3">
      <c r="A53" s="428" t="s">
        <v>3586</v>
      </c>
      <c r="B53" s="429">
        <v>521.94852341542969</v>
      </c>
      <c r="C53" s="628">
        <v>1166.7084641050783</v>
      </c>
      <c r="D53" s="591">
        <v>4912.4566909687501</v>
      </c>
      <c r="E53" s="201"/>
      <c r="F53" s="201"/>
      <c r="G53" s="201"/>
      <c r="H53" s="201"/>
      <c r="I53" s="201"/>
      <c r="J53" s="201"/>
      <c r="K53" s="201"/>
    </row>
    <row r="54" spans="1:11" ht="16.3">
      <c r="A54" s="428" t="s">
        <v>3585</v>
      </c>
      <c r="B54" s="429">
        <v>614.3097847605469</v>
      </c>
      <c r="C54" s="628">
        <v>1373.1630482882813</v>
      </c>
      <c r="D54" s="591">
        <v>5781.7391506875001</v>
      </c>
      <c r="E54" s="201"/>
      <c r="F54" s="201"/>
      <c r="G54" s="201"/>
      <c r="H54" s="201"/>
      <c r="I54" s="201"/>
      <c r="J54" s="201"/>
      <c r="K54" s="201"/>
    </row>
    <row r="55" spans="1:11" ht="16.3">
      <c r="A55" s="428" t="s">
        <v>3584</v>
      </c>
      <c r="B55" s="429">
        <v>708.81898241601561</v>
      </c>
      <c r="C55" s="628">
        <v>1584.4189018710938</v>
      </c>
      <c r="D55" s="591">
        <v>6671.2374815625008</v>
      </c>
      <c r="E55" s="201"/>
      <c r="F55" s="201"/>
      <c r="G55" s="201"/>
      <c r="H55" s="201"/>
      <c r="I55" s="201"/>
      <c r="J55" s="201"/>
      <c r="K55" s="201"/>
    </row>
    <row r="56" spans="1:11" ht="16.3">
      <c r="A56" s="428" t="s">
        <v>3583</v>
      </c>
      <c r="B56" s="429">
        <v>257.75235724218749</v>
      </c>
      <c r="C56" s="628">
        <v>576.152327953125</v>
      </c>
      <c r="D56" s="591">
        <v>2425.90453875</v>
      </c>
      <c r="E56" s="201"/>
      <c r="F56" s="201"/>
      <c r="G56" s="201"/>
      <c r="H56" s="201"/>
      <c r="I56" s="201"/>
      <c r="J56" s="201"/>
      <c r="K56" s="201"/>
    </row>
    <row r="57" spans="1:11" ht="16.3">
      <c r="A57" s="428" t="s">
        <v>3582</v>
      </c>
      <c r="B57" s="429">
        <v>358.70536382871092</v>
      </c>
      <c r="C57" s="628">
        <v>801.81198973476569</v>
      </c>
      <c r="D57" s="591">
        <v>3376.0504830937502</v>
      </c>
      <c r="E57" s="201"/>
      <c r="F57" s="201"/>
      <c r="G57" s="201"/>
      <c r="H57" s="201"/>
      <c r="I57" s="201"/>
      <c r="J57" s="201"/>
      <c r="K57" s="201"/>
    </row>
    <row r="58" spans="1:11" ht="16.3">
      <c r="A58" s="428" t="s">
        <v>3581</v>
      </c>
      <c r="B58" s="429">
        <v>472.54598827734361</v>
      </c>
      <c r="C58" s="628">
        <v>1056.2792679140623</v>
      </c>
      <c r="D58" s="591">
        <v>4447.4916543749996</v>
      </c>
      <c r="E58" s="201"/>
      <c r="F58" s="201"/>
      <c r="G58" s="201"/>
      <c r="H58" s="201"/>
      <c r="I58" s="201"/>
      <c r="J58" s="201"/>
      <c r="K58" s="201"/>
    </row>
    <row r="59" spans="1:11" ht="16.3">
      <c r="A59" s="428" t="s">
        <v>3580</v>
      </c>
      <c r="B59" s="429">
        <v>569.2031222431641</v>
      </c>
      <c r="C59" s="628">
        <v>1272.3363908964845</v>
      </c>
      <c r="D59" s="591">
        <v>5357.2058564062499</v>
      </c>
      <c r="E59" s="201"/>
      <c r="F59" s="201"/>
      <c r="G59" s="201"/>
      <c r="H59" s="201"/>
      <c r="I59" s="201"/>
      <c r="J59" s="201"/>
      <c r="K59" s="201"/>
    </row>
    <row r="60" spans="1:11" ht="16.3">
      <c r="A60" s="428" t="s">
        <v>3579</v>
      </c>
      <c r="B60" s="429">
        <v>655.12057465722648</v>
      </c>
      <c r="C60" s="628">
        <v>1464.3871668808595</v>
      </c>
      <c r="D60" s="591">
        <v>6165.84070265625</v>
      </c>
      <c r="E60" s="201"/>
      <c r="F60" s="201"/>
      <c r="G60" s="201"/>
      <c r="H60" s="201"/>
      <c r="I60" s="201"/>
      <c r="J60" s="201"/>
      <c r="K60" s="201"/>
    </row>
    <row r="61" spans="1:11" ht="16.3">
      <c r="A61" s="428" t="s">
        <v>3578</v>
      </c>
      <c r="B61" s="429">
        <v>747.4818360023437</v>
      </c>
      <c r="C61" s="628">
        <v>1670.8417510640625</v>
      </c>
      <c r="D61" s="591">
        <v>7035.1231623749991</v>
      </c>
      <c r="E61" s="201"/>
      <c r="F61" s="201"/>
      <c r="G61" s="201"/>
      <c r="H61" s="201"/>
      <c r="I61" s="201"/>
      <c r="J61" s="201"/>
      <c r="K61" s="201"/>
    </row>
    <row r="62" spans="1:11" ht="16.3">
      <c r="A62" s="428" t="s">
        <v>3577</v>
      </c>
      <c r="B62" s="429">
        <v>332.93012810449216</v>
      </c>
      <c r="C62" s="628">
        <v>744.19675693945305</v>
      </c>
      <c r="D62" s="591">
        <v>3133.4600292187497</v>
      </c>
      <c r="E62" s="201"/>
      <c r="F62" s="201"/>
      <c r="G62" s="201"/>
      <c r="H62" s="201"/>
      <c r="I62" s="201"/>
      <c r="J62" s="201"/>
      <c r="K62" s="201"/>
    </row>
    <row r="63" spans="1:11" ht="16.3">
      <c r="A63" s="428" t="s">
        <v>3576</v>
      </c>
      <c r="B63" s="429">
        <v>436.03107100136725</v>
      </c>
      <c r="C63" s="628">
        <v>974.65768812070291</v>
      </c>
      <c r="D63" s="591">
        <v>4103.8218447187501</v>
      </c>
      <c r="E63" s="201"/>
      <c r="F63" s="201"/>
      <c r="G63" s="201"/>
      <c r="H63" s="201"/>
      <c r="I63" s="201"/>
      <c r="J63" s="201"/>
      <c r="K63" s="201"/>
    </row>
    <row r="64" spans="1:11" ht="16.3">
      <c r="A64" s="428" t="s">
        <v>3575</v>
      </c>
      <c r="B64" s="429">
        <v>524.09645972578119</v>
      </c>
      <c r="C64" s="628">
        <v>1171.5097335046876</v>
      </c>
      <c r="D64" s="591">
        <v>4932.6725621249998</v>
      </c>
      <c r="E64" s="201"/>
      <c r="F64" s="201"/>
      <c r="G64" s="201"/>
      <c r="H64" s="201"/>
      <c r="I64" s="201"/>
      <c r="J64" s="201"/>
      <c r="K64" s="201"/>
    </row>
    <row r="65" spans="1:11" ht="16.3">
      <c r="A65" s="428" t="s">
        <v>3574</v>
      </c>
      <c r="B65" s="429">
        <v>618.60565738125001</v>
      </c>
      <c r="C65" s="628">
        <v>1382.7655870875001</v>
      </c>
      <c r="D65" s="591">
        <v>5822.1708930000004</v>
      </c>
      <c r="E65" s="201"/>
      <c r="F65" s="201"/>
      <c r="G65" s="201"/>
      <c r="H65" s="201"/>
      <c r="I65" s="201"/>
      <c r="J65" s="201"/>
      <c r="K65" s="201"/>
    </row>
    <row r="66" spans="1:11" ht="16.3">
      <c r="A66" s="428" t="s">
        <v>3573</v>
      </c>
      <c r="B66" s="429">
        <v>702.37517348496067</v>
      </c>
      <c r="C66" s="628">
        <v>1570.0150936722659</v>
      </c>
      <c r="D66" s="591">
        <v>6610.5898680937498</v>
      </c>
      <c r="E66" s="201"/>
      <c r="F66" s="201"/>
      <c r="G66" s="201"/>
      <c r="H66" s="201"/>
      <c r="I66" s="201"/>
      <c r="J66" s="201"/>
      <c r="K66" s="201"/>
    </row>
    <row r="67" spans="1:11" ht="17" thickBot="1">
      <c r="A67" s="428" t="s">
        <v>3572</v>
      </c>
      <c r="B67" s="429">
        <v>794.736434830078</v>
      </c>
      <c r="C67" s="628">
        <v>1776.4696778554687</v>
      </c>
      <c r="D67" s="591">
        <v>7479.8723278125008</v>
      </c>
      <c r="E67" s="201"/>
      <c r="F67" s="201"/>
      <c r="G67" s="201"/>
      <c r="H67" s="201"/>
      <c r="I67" s="201"/>
      <c r="J67" s="201"/>
      <c r="K67" s="201"/>
    </row>
    <row r="68" spans="1:11" ht="19.7" thickBot="1">
      <c r="A68" s="614" t="s">
        <v>720</v>
      </c>
      <c r="B68" s="863"/>
      <c r="C68" s="864"/>
      <c r="D68" s="864"/>
    </row>
    <row r="69" spans="1:11" ht="63.7" customHeight="1">
      <c r="A69" s="428" t="s">
        <v>3524</v>
      </c>
      <c r="B69" s="430">
        <v>47.311</v>
      </c>
      <c r="C69" s="629" t="s">
        <v>770</v>
      </c>
      <c r="D69" s="591">
        <v>136.67999999999998</v>
      </c>
      <c r="G69" s="201"/>
      <c r="H69" s="201"/>
      <c r="I69" s="201"/>
    </row>
    <row r="70" spans="1:11" ht="68.3" customHeight="1">
      <c r="A70" s="610" t="s">
        <v>3525</v>
      </c>
      <c r="B70" s="430">
        <v>49.368000000000009</v>
      </c>
      <c r="C70" s="629" t="s">
        <v>770</v>
      </c>
      <c r="D70" s="591">
        <v>115.26</v>
      </c>
      <c r="G70" s="201"/>
      <c r="H70" s="201"/>
      <c r="I70" s="201"/>
    </row>
    <row r="71" spans="1:11" ht="74.25" customHeight="1">
      <c r="A71" s="428" t="s">
        <v>2249</v>
      </c>
      <c r="B71" s="430">
        <v>22.627000000000002</v>
      </c>
      <c r="C71" s="629" t="s">
        <v>770</v>
      </c>
      <c r="D71" s="591">
        <v>27.54</v>
      </c>
      <c r="G71" s="201"/>
      <c r="H71" s="201"/>
      <c r="I71" s="201"/>
    </row>
    <row r="72" spans="1:11" ht="67.599999999999994" customHeight="1">
      <c r="A72" s="428" t="s">
        <v>2250</v>
      </c>
      <c r="B72" s="430">
        <v>32.912000000000006</v>
      </c>
      <c r="C72" s="629" t="s">
        <v>770</v>
      </c>
      <c r="D72" s="591">
        <v>42.839999999999996</v>
      </c>
      <c r="G72" s="201"/>
      <c r="H72" s="201"/>
      <c r="I72" s="201"/>
    </row>
    <row r="73" spans="1:11" ht="83.25" customHeight="1">
      <c r="A73" s="431" t="s">
        <v>2251</v>
      </c>
      <c r="B73" s="430">
        <v>28.798000000000009</v>
      </c>
      <c r="C73" s="629" t="s">
        <v>770</v>
      </c>
      <c r="D73" s="591">
        <v>67.320000000000007</v>
      </c>
      <c r="G73" s="201"/>
      <c r="H73" s="201"/>
      <c r="I73" s="201"/>
    </row>
    <row r="74" spans="1:11" ht="66.099999999999994" customHeight="1">
      <c r="A74" s="610" t="s">
        <v>2252</v>
      </c>
      <c r="B74" s="430">
        <v>67.881000000000014</v>
      </c>
      <c r="C74" s="629" t="s">
        <v>770</v>
      </c>
      <c r="D74" s="591">
        <v>190.74</v>
      </c>
      <c r="G74" s="201"/>
      <c r="H74" s="201"/>
      <c r="I74" s="201"/>
    </row>
    <row r="75" spans="1:11" ht="80.349999999999994" customHeight="1">
      <c r="A75" s="610" t="s">
        <v>2253</v>
      </c>
      <c r="B75" s="430">
        <v>90.50800000000001</v>
      </c>
      <c r="C75" s="629" t="s">
        <v>770</v>
      </c>
      <c r="D75" s="591">
        <v>154.01999999999998</v>
      </c>
      <c r="G75" s="201"/>
      <c r="H75" s="201"/>
      <c r="I75" s="201"/>
    </row>
    <row r="76" spans="1:11" s="258" customFormat="1">
      <c r="A76" s="352"/>
      <c r="B76" s="256"/>
      <c r="H76" s="201"/>
    </row>
    <row r="77" spans="1:11" s="258" customFormat="1">
      <c r="A77" s="352"/>
      <c r="B77" s="256"/>
    </row>
    <row r="78" spans="1:11" s="258" customFormat="1">
      <c r="A78" s="352"/>
      <c r="B78" s="256"/>
    </row>
    <row r="79" spans="1:11" s="258" customFormat="1">
      <c r="A79" s="352"/>
      <c r="B79" s="256"/>
    </row>
    <row r="80" spans="1:11" s="258" customFormat="1">
      <c r="A80" s="352"/>
      <c r="B80" s="256"/>
    </row>
    <row r="81" spans="1:2" s="258" customFormat="1">
      <c r="A81" s="352"/>
      <c r="B81" s="256"/>
    </row>
    <row r="82" spans="1:2" s="258" customFormat="1">
      <c r="A82" s="352"/>
      <c r="B82" s="256"/>
    </row>
    <row r="83" spans="1:2" s="258" customFormat="1">
      <c r="A83" s="352"/>
    </row>
    <row r="84" spans="1:2" s="258" customFormat="1">
      <c r="A84" s="352"/>
    </row>
    <row r="85" spans="1:2" s="258" customFormat="1">
      <c r="A85" s="352"/>
    </row>
    <row r="86" spans="1:2" s="258" customFormat="1">
      <c r="A86" s="352"/>
    </row>
    <row r="87" spans="1:2" s="258" customFormat="1">
      <c r="A87" s="352"/>
    </row>
    <row r="88" spans="1:2" s="258" customFormat="1">
      <c r="A88" s="352"/>
    </row>
    <row r="89" spans="1:2" s="258" customFormat="1">
      <c r="A89" s="352"/>
      <c r="B89" s="256"/>
    </row>
    <row r="90" spans="1:2" s="258" customFormat="1">
      <c r="A90" s="352"/>
      <c r="B90" s="256"/>
    </row>
    <row r="91" spans="1:2" s="258" customFormat="1">
      <c r="A91" s="352"/>
      <c r="B91" s="256"/>
    </row>
    <row r="92" spans="1:2" s="258" customFormat="1">
      <c r="A92" s="352"/>
      <c r="B92" s="256"/>
    </row>
    <row r="93" spans="1:2" s="258" customFormat="1">
      <c r="A93" s="352"/>
      <c r="B93" s="256"/>
    </row>
    <row r="94" spans="1:2" s="258" customFormat="1">
      <c r="A94" s="352"/>
      <c r="B94" s="256"/>
    </row>
    <row r="95" spans="1:2" s="258" customFormat="1">
      <c r="A95" s="352"/>
      <c r="B95" s="256"/>
    </row>
    <row r="96" spans="1:2" s="258" customFormat="1">
      <c r="A96" s="352"/>
      <c r="B96" s="256"/>
    </row>
    <row r="97" spans="1:2" s="258" customFormat="1">
      <c r="A97" s="352"/>
      <c r="B97" s="256"/>
    </row>
    <row r="98" spans="1:2" s="258" customFormat="1">
      <c r="A98" s="352"/>
      <c r="B98" s="256"/>
    </row>
    <row r="99" spans="1:2" s="258" customFormat="1">
      <c r="A99" s="352"/>
      <c r="B99" s="256"/>
    </row>
    <row r="100" spans="1:2" s="258" customFormat="1">
      <c r="A100" s="352"/>
      <c r="B100" s="256"/>
    </row>
    <row r="101" spans="1:2" s="258" customFormat="1">
      <c r="A101" s="352"/>
      <c r="B101" s="256"/>
    </row>
    <row r="102" spans="1:2" s="258" customFormat="1">
      <c r="A102" s="352"/>
      <c r="B102" s="256"/>
    </row>
    <row r="103" spans="1:2" s="258" customFormat="1">
      <c r="A103" s="352"/>
      <c r="B103" s="256"/>
    </row>
    <row r="104" spans="1:2" s="258" customFormat="1">
      <c r="A104" s="352"/>
      <c r="B104" s="256"/>
    </row>
    <row r="105" spans="1:2" s="258" customFormat="1">
      <c r="A105" s="352"/>
      <c r="B105" s="256"/>
    </row>
    <row r="106" spans="1:2" s="258" customFormat="1">
      <c r="A106" s="352"/>
      <c r="B106" s="256"/>
    </row>
    <row r="107" spans="1:2" s="258" customFormat="1">
      <c r="A107" s="352"/>
      <c r="B107" s="256"/>
    </row>
    <row r="108" spans="1:2" s="258" customFormat="1">
      <c r="A108" s="352"/>
      <c r="B108" s="256"/>
    </row>
    <row r="109" spans="1:2" s="258" customFormat="1">
      <c r="A109" s="352"/>
      <c r="B109" s="256"/>
    </row>
    <row r="110" spans="1:2" s="258" customFormat="1">
      <c r="A110" s="352"/>
      <c r="B110" s="256"/>
    </row>
    <row r="111" spans="1:2" s="258" customFormat="1">
      <c r="A111" s="352"/>
      <c r="B111" s="256"/>
    </row>
    <row r="112" spans="1:2" s="258" customFormat="1">
      <c r="A112" s="352"/>
      <c r="B112" s="256"/>
    </row>
    <row r="113" spans="1:2" s="258" customFormat="1">
      <c r="A113" s="352"/>
      <c r="B113" s="256"/>
    </row>
    <row r="114" spans="1:2" s="258" customFormat="1">
      <c r="A114" s="352"/>
      <c r="B114" s="256"/>
    </row>
    <row r="115" spans="1:2" s="258" customFormat="1">
      <c r="A115" s="352"/>
      <c r="B115" s="256"/>
    </row>
    <row r="116" spans="1:2" s="258" customFormat="1">
      <c r="A116" s="352"/>
      <c r="B116" s="256"/>
    </row>
    <row r="117" spans="1:2" s="258" customFormat="1">
      <c r="A117" s="352"/>
      <c r="B117" s="256"/>
    </row>
    <row r="118" spans="1:2" s="258" customFormat="1">
      <c r="A118" s="352"/>
      <c r="B118" s="256"/>
    </row>
    <row r="119" spans="1:2" s="258" customFormat="1">
      <c r="A119" s="352"/>
      <c r="B119" s="256"/>
    </row>
    <row r="120" spans="1:2" s="258" customFormat="1">
      <c r="A120" s="352"/>
      <c r="B120" s="256"/>
    </row>
    <row r="121" spans="1:2" s="258" customFormat="1">
      <c r="A121" s="352"/>
      <c r="B121" s="256"/>
    </row>
    <row r="122" spans="1:2" s="258" customFormat="1">
      <c r="A122" s="352"/>
      <c r="B122" s="256"/>
    </row>
    <row r="123" spans="1:2" s="258" customFormat="1">
      <c r="A123" s="352"/>
      <c r="B123" s="256"/>
    </row>
    <row r="124" spans="1:2" s="258" customFormat="1">
      <c r="A124" s="352"/>
      <c r="B124" s="256"/>
    </row>
    <row r="125" spans="1:2" s="258" customFormat="1">
      <c r="A125" s="352"/>
      <c r="B125" s="256"/>
    </row>
    <row r="126" spans="1:2" s="258" customFormat="1">
      <c r="A126" s="352"/>
      <c r="B126" s="256"/>
    </row>
    <row r="127" spans="1:2" s="258" customFormat="1">
      <c r="A127" s="352"/>
      <c r="B127" s="256"/>
    </row>
    <row r="128" spans="1:2" s="258" customFormat="1">
      <c r="A128" s="352"/>
      <c r="B128" s="256"/>
    </row>
    <row r="129" spans="1:2" s="258" customFormat="1">
      <c r="A129" s="352"/>
      <c r="B129" s="256"/>
    </row>
    <row r="130" spans="1:2" s="258" customFormat="1">
      <c r="A130" s="352"/>
      <c r="B130" s="256"/>
    </row>
    <row r="131" spans="1:2" s="258" customFormat="1">
      <c r="A131" s="352"/>
      <c r="B131" s="256"/>
    </row>
    <row r="132" spans="1:2" s="258" customFormat="1">
      <c r="A132" s="352"/>
      <c r="B132" s="256"/>
    </row>
    <row r="133" spans="1:2" s="258" customFormat="1">
      <c r="A133" s="352"/>
      <c r="B133" s="256"/>
    </row>
    <row r="134" spans="1:2" s="258" customFormat="1">
      <c r="A134" s="352"/>
      <c r="B134" s="256"/>
    </row>
    <row r="135" spans="1:2" s="258" customFormat="1">
      <c r="A135" s="352"/>
      <c r="B135" s="256"/>
    </row>
    <row r="136" spans="1:2" s="258" customFormat="1">
      <c r="A136" s="352"/>
      <c r="B136" s="256"/>
    </row>
    <row r="137" spans="1:2" s="258" customFormat="1">
      <c r="A137" s="352"/>
      <c r="B137" s="256"/>
    </row>
    <row r="138" spans="1:2" s="258" customFormat="1">
      <c r="A138" s="352"/>
      <c r="B138" s="256"/>
    </row>
    <row r="139" spans="1:2" s="258" customFormat="1">
      <c r="A139" s="352"/>
      <c r="B139" s="256"/>
    </row>
    <row r="140" spans="1:2" s="258" customFormat="1">
      <c r="A140" s="352"/>
      <c r="B140" s="256"/>
    </row>
    <row r="141" spans="1:2" s="258" customFormat="1">
      <c r="A141" s="352"/>
      <c r="B141" s="256"/>
    </row>
    <row r="142" spans="1:2" s="258" customFormat="1">
      <c r="A142" s="352"/>
      <c r="B142" s="256"/>
    </row>
    <row r="143" spans="1:2" s="258" customFormat="1">
      <c r="A143" s="352"/>
      <c r="B143" s="256"/>
    </row>
    <row r="144" spans="1:2" s="258" customFormat="1">
      <c r="A144" s="352"/>
      <c r="B144" s="256"/>
    </row>
    <row r="145" spans="1:2" s="258" customFormat="1">
      <c r="A145" s="352"/>
      <c r="B145" s="256"/>
    </row>
    <row r="146" spans="1:2" s="258" customFormat="1">
      <c r="A146" s="352"/>
      <c r="B146" s="256"/>
    </row>
    <row r="147" spans="1:2" s="258" customFormat="1">
      <c r="A147" s="352"/>
      <c r="B147" s="256"/>
    </row>
    <row r="148" spans="1:2" s="258" customFormat="1">
      <c r="A148" s="352"/>
      <c r="B148" s="256"/>
    </row>
    <row r="149" spans="1:2" s="258" customFormat="1">
      <c r="A149" s="352"/>
      <c r="B149" s="256"/>
    </row>
    <row r="150" spans="1:2" s="258" customFormat="1">
      <c r="A150" s="352"/>
      <c r="B150" s="256"/>
    </row>
    <row r="151" spans="1:2" s="258" customFormat="1">
      <c r="A151" s="352"/>
      <c r="B151" s="256"/>
    </row>
    <row r="152" spans="1:2" s="258" customFormat="1">
      <c r="A152" s="352"/>
      <c r="B152" s="256"/>
    </row>
    <row r="153" spans="1:2" s="258" customFormat="1">
      <c r="A153" s="352"/>
      <c r="B153" s="256"/>
    </row>
    <row r="154" spans="1:2" s="258" customFormat="1">
      <c r="A154" s="352"/>
      <c r="B154" s="256"/>
    </row>
    <row r="155" spans="1:2" s="258" customFormat="1">
      <c r="A155" s="352"/>
      <c r="B155" s="256"/>
    </row>
    <row r="156" spans="1:2" s="258" customFormat="1">
      <c r="A156" s="352"/>
      <c r="B156" s="256"/>
    </row>
    <row r="157" spans="1:2" s="258" customFormat="1">
      <c r="A157" s="352"/>
      <c r="B157" s="256"/>
    </row>
    <row r="158" spans="1:2" s="258" customFormat="1">
      <c r="A158" s="352"/>
      <c r="B158" s="256"/>
    </row>
    <row r="159" spans="1:2" s="258" customFormat="1">
      <c r="A159" s="352"/>
      <c r="B159" s="256"/>
    </row>
    <row r="160" spans="1:2" s="258" customFormat="1">
      <c r="A160" s="352"/>
      <c r="B160" s="256"/>
    </row>
    <row r="161" spans="1:2" s="258" customFormat="1">
      <c r="A161" s="352"/>
      <c r="B161" s="256"/>
    </row>
    <row r="162" spans="1:2" s="258" customFormat="1">
      <c r="A162" s="352"/>
      <c r="B162" s="256"/>
    </row>
    <row r="163" spans="1:2" s="258" customFormat="1">
      <c r="A163" s="352"/>
      <c r="B163" s="256"/>
    </row>
    <row r="164" spans="1:2" s="258" customFormat="1">
      <c r="A164" s="352"/>
      <c r="B164" s="256"/>
    </row>
  </sheetData>
  <sheetProtection formatCells="0" formatColumns="0" formatRows="0" insertColumns="0" insertRows="0" insertHyperlinks="0" deleteColumns="0" deleteRows="0" sort="0" autoFilter="0" pivotTables="0"/>
  <mergeCells count="8">
    <mergeCell ref="F1:F2"/>
    <mergeCell ref="B47:D47"/>
    <mergeCell ref="B68:D68"/>
    <mergeCell ref="E1:E2"/>
    <mergeCell ref="A1:A2"/>
    <mergeCell ref="B1:B3"/>
    <mergeCell ref="C1:C3"/>
    <mergeCell ref="D1:D3"/>
  </mergeCells>
  <hyperlinks>
    <hyperlink ref="E1" location="ГЛАВНАЯ!A1" display="На главную" xr:uid="{00000000-0004-0000-0600-000000000000}"/>
  </hyperlinks>
  <pageMargins left="0.7" right="0.7" top="0.75" bottom="0.75" header="0.3" footer="0.3"/>
  <pageSetup paperSize="9" scale="84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7"/>
  <dimension ref="A1:P13"/>
  <sheetViews>
    <sheetView zoomScale="115" zoomScaleNormal="115" workbookViewId="0">
      <pane xSplit="16" ySplit="2" topLeftCell="Q3" activePane="bottomRight" state="frozen"/>
      <selection pane="topRight" activeCell="R1" sqref="R1"/>
      <selection pane="bottomLeft" activeCell="A3" sqref="A3"/>
      <selection pane="bottomRight" activeCell="G10" sqref="G10"/>
    </sheetView>
  </sheetViews>
  <sheetFormatPr defaultRowHeight="14.3"/>
  <cols>
    <col min="1" max="1" width="25.875" customWidth="1"/>
    <col min="2" max="2" width="7" bestFit="1" customWidth="1"/>
    <col min="3" max="4" width="5.625" bestFit="1" customWidth="1"/>
    <col min="5" max="5" width="4.375" bestFit="1" customWidth="1"/>
    <col min="6" max="7" width="5.625" bestFit="1" customWidth="1"/>
    <col min="8" max="8" width="4.375" bestFit="1" customWidth="1"/>
    <col min="9" max="11" width="5.625" bestFit="1" customWidth="1"/>
    <col min="12" max="12" width="7" bestFit="1" customWidth="1"/>
    <col min="13" max="14" width="5.625" bestFit="1" customWidth="1"/>
    <col min="15" max="15" width="6.875" customWidth="1"/>
    <col min="16" max="16" width="6.75" customWidth="1"/>
  </cols>
  <sheetData>
    <row r="1" spans="1:16" ht="18.7" customHeight="1">
      <c r="A1" s="116" t="s">
        <v>2</v>
      </c>
      <c r="B1" s="808" t="s">
        <v>1188</v>
      </c>
      <c r="C1" s="809"/>
      <c r="D1" s="809"/>
      <c r="E1" s="809"/>
      <c r="F1" s="809"/>
      <c r="G1" s="809"/>
      <c r="H1" s="810"/>
      <c r="I1" s="811" t="s">
        <v>1189</v>
      </c>
      <c r="J1" s="812"/>
      <c r="K1" s="813"/>
      <c r="L1" s="814" t="s">
        <v>1190</v>
      </c>
      <c r="M1" s="815"/>
      <c r="N1" s="815"/>
      <c r="O1" s="815"/>
      <c r="P1" s="815"/>
    </row>
    <row r="2" spans="1:16" ht="19.05">
      <c r="A2" s="11" t="s">
        <v>21</v>
      </c>
      <c r="B2" s="11">
        <v>0.55000000000000004</v>
      </c>
      <c r="C2" s="11">
        <v>0.7</v>
      </c>
      <c r="D2" s="11">
        <v>0.8</v>
      </c>
      <c r="E2" s="11">
        <v>1</v>
      </c>
      <c r="F2" s="11">
        <v>1.2</v>
      </c>
      <c r="G2" s="11">
        <v>1.5</v>
      </c>
      <c r="H2" s="11">
        <v>2</v>
      </c>
      <c r="I2" s="34">
        <v>1.2</v>
      </c>
      <c r="J2" s="34">
        <v>1.5</v>
      </c>
      <c r="K2" s="34">
        <v>2</v>
      </c>
      <c r="L2" s="36">
        <v>0.55000000000000004</v>
      </c>
      <c r="M2" s="36">
        <v>0.8</v>
      </c>
      <c r="N2" s="36">
        <v>1</v>
      </c>
      <c r="O2" s="36">
        <v>1.2</v>
      </c>
      <c r="P2" s="36">
        <v>1.5</v>
      </c>
    </row>
    <row r="3" spans="1:16">
      <c r="A3" s="12" t="s">
        <v>1159</v>
      </c>
      <c r="B3" s="93">
        <f>'Цены на металл '!$V3/1000*7.85*'Цены на металл '!A$3*1.36*'Цены на металл '!A$4</f>
        <v>27.757600000000004</v>
      </c>
      <c r="C3" s="93">
        <f>'Цены на металл '!$V3/1000*7.85*'Цены на металл '!B$3*1.25*'Цены на металл '!B$4</f>
        <v>33.166249999999998</v>
      </c>
      <c r="D3" s="93">
        <f>'Цены на металл '!$V3/1000*7.85*'Цены на металл '!C$3*1.25*'Цены на металл '!C$4</f>
        <v>38.268749999999997</v>
      </c>
      <c r="E3" s="93">
        <f>'Цены на металл '!$V3/1000*7.85*'Цены на металл '!D$3*1.25*'Цены на металл '!D$4</f>
        <v>45.922499999999999</v>
      </c>
      <c r="F3" s="93">
        <f>'Цены на металл '!$V3/1000*7.85*'Цены на металл '!E$3*1.25*'Цены на металл '!E$4</f>
        <v>56.127500000000012</v>
      </c>
      <c r="G3" s="93">
        <f>'Цены на металл '!$V3/1000*7.85*'Цены на металл '!F$3*1.25*'Цены на металл '!F$4</f>
        <v>71.435000000000002</v>
      </c>
      <c r="H3" s="93">
        <f>'Цены на металл '!$V3/1000*7.85*'Цены на металл '!G$3*1.25*'Цены на металл '!G$4</f>
        <v>99.930500000000009</v>
      </c>
      <c r="I3" s="124">
        <f>'Цены на металл '!$V3/1000*7.85*'Цены на металл '!H$3*('Цены на металл '!H$4*1.3)+('Цены на металл '!H$5*'Цены на металл '!$V3/1000*7.85*'Цены на металл '!H$3)</f>
        <v>81.859800000000007</v>
      </c>
      <c r="J3" s="124">
        <f>'Цены на металл '!$V3/1000*7.85*'Цены на металл '!I$3*('Цены на металл '!I$4*1.3)+('Цены на металл '!I$5*'Цены на металл '!$V3/1000*7.85*'Цены на металл '!I$3)</f>
        <v>104.18519999999999</v>
      </c>
      <c r="K3" s="124">
        <f>'Цены на металл '!$V3/1000*7.85*'Цены на металл '!J$3*('Цены на металл '!J$4*1.3)+('Цены на металл '!J$5*'Цены на металл '!$V3/1000*7.85*'Цены на металл '!J$3)</f>
        <v>152.10160000000002</v>
      </c>
      <c r="L3" s="140">
        <f>'Цены на металл '!$V3/1000*7.85*'Цены на металл '!K$3*1.8*'Цены на металл '!K$4</f>
        <v>149.21280000000002</v>
      </c>
      <c r="M3" s="140">
        <f>'Цены на металл '!$V3/1000*7.85*'Цены на металл '!L$3*1.8*'Цены на металл '!L$4</f>
        <v>217.03680000000003</v>
      </c>
      <c r="N3" s="140">
        <f>'Цены на металл '!$V3/1000*7.85*'Цены на металл '!M$3*1.8*'Цены на металл '!M$4</f>
        <v>271.29599999999999</v>
      </c>
      <c r="O3" s="140">
        <f>'Цены на металл '!$V3/1000*7.85*'Цены на металл '!N$3*1.8*'Цены на металл '!N$4</f>
        <v>325.55519999999996</v>
      </c>
      <c r="P3" s="140">
        <f>'Цены на металл '!$V3/1000*7.85*'Цены на металл '!O$3*1.8*'Цены на металл '!O$4</f>
        <v>406.94400000000002</v>
      </c>
    </row>
    <row r="4" spans="1:16">
      <c r="A4" s="6" t="s">
        <v>1160</v>
      </c>
      <c r="B4" s="93">
        <f>'Цены на металл '!$V4/1000*7.85*'Цены на металл '!A$3*1.36*'Цены на металл '!A$4</f>
        <v>31.227299999999996</v>
      </c>
      <c r="C4" s="93">
        <f>'Цены на металл '!$V4/1000*7.85*'Цены на металл '!B$3*1.25*'Цены на металл '!B$4</f>
        <v>37.31203124999999</v>
      </c>
      <c r="D4" s="93">
        <f>'Цены на металл '!$V4/1000*7.85*'Цены на металл '!C$3*1.25*'Цены на металл '!C$4</f>
        <v>43.052343749999984</v>
      </c>
      <c r="E4" s="93">
        <f>'Цены на металл '!$V4/1000*7.85*'Цены на металл '!D$3*1.25*'Цены на металл '!D$4</f>
        <v>51.662812499999994</v>
      </c>
      <c r="F4" s="93">
        <f>'Цены на металл '!$V4/1000*7.85*'Цены на металл '!E$3*1.25*'Цены на металл '!E$4</f>
        <v>63.143437499999997</v>
      </c>
      <c r="G4" s="93">
        <f>'Цены на металл '!$V4/1000*7.85*'Цены на металл '!F$3*1.25*'Цены на металл '!F$4</f>
        <v>80.364374999999981</v>
      </c>
      <c r="H4" s="93">
        <f>'Цены на металл '!$V4/1000*7.85*'Цены на металл '!G$3*1.25*'Цены на металл '!G$4</f>
        <v>112.42181249999997</v>
      </c>
      <c r="I4" s="124">
        <f>'Цены на металл '!$V4/1000*7.85*'Цены на металл '!H$3*('Цены на металл '!H$4*1.3)+('Цены на металл '!H$5*'Цены на металл '!$V4/1000*7.85*'Цены на металл '!H$3)</f>
        <v>92.092275000000001</v>
      </c>
      <c r="J4" s="124">
        <f>'Цены на металл '!$V4/1000*7.85*'Цены на металл '!I$3*('Цены на металл '!I$4*1.3)+('Цены на металл '!I$5*'Цены на металл '!$V4/1000*7.85*'Цены на металл '!I$3)</f>
        <v>117.20834999999997</v>
      </c>
      <c r="K4" s="124">
        <f>'Цены на металл '!$V4/1000*7.85*'Цены на металл '!J$3*('Цены на металл '!J$4*1.3)+('Цены на металл '!J$5*'Цены на металл '!$V4/1000*7.85*'Цены на металл '!J$3)</f>
        <v>171.11430000000001</v>
      </c>
      <c r="L4" s="140">
        <f>'Цены на металл '!$V4/1000*7.85*'Цены на металл '!K$3*1.8*'Цены на металл '!K$4</f>
        <v>167.86440000000002</v>
      </c>
      <c r="M4" s="140">
        <f>'Цены на металл '!$V4/1000*7.85*'Цены на металл '!L$3*1.8*'Цены на металл '!L$4</f>
        <v>244.16639999999995</v>
      </c>
      <c r="N4" s="140">
        <f>'Цены на металл '!$V4/1000*7.85*'Цены на металл '!M$3*1.8*'Цены на металл '!M$4</f>
        <v>305.20799999999997</v>
      </c>
      <c r="O4" s="140">
        <f>'Цены на металл '!$V4/1000*7.85*'Цены на металл '!N$3*1.8*'Цены на металл '!N$4</f>
        <v>366.24959999999999</v>
      </c>
      <c r="P4" s="140">
        <f>'Цены на металл '!$V4/1000*7.85*'Цены на металл '!O$3*1.8*'Цены на металл '!O$4</f>
        <v>457.8119999999999</v>
      </c>
    </row>
    <row r="5" spans="1:16">
      <c r="A5" s="6" t="s">
        <v>1161</v>
      </c>
      <c r="B5" s="93">
        <f>'Цены на металл '!$V5/1000*7.85*'Цены на металл '!A$3*1.36*'Цены на металл '!A$4</f>
        <v>38.166700000000006</v>
      </c>
      <c r="C5" s="93">
        <f>'Цены на металл '!$V5/1000*7.85*'Цены на металл '!B$3*1.25*'Цены на металл '!B$4</f>
        <v>45.603593750000002</v>
      </c>
      <c r="D5" s="93">
        <f>'Цены на металл '!$V5/1000*7.85*'Цены на металл '!C$3*1.25*'Цены на металл '!C$4</f>
        <v>52.619531249999987</v>
      </c>
      <c r="E5" s="93">
        <f>'Цены на металл '!$V5/1000*7.85*'Цены на металл '!D$3*1.25*'Цены на металл '!D$4</f>
        <v>63.143437499999997</v>
      </c>
      <c r="F5" s="93">
        <f>'Цены на металл '!$V5/1000*7.85*'Цены на металл '!E$3*1.25*'Цены на металл '!E$4</f>
        <v>77.175312500000004</v>
      </c>
      <c r="G5" s="93">
        <f>'Цены на металл '!$V5/1000*7.85*'Цены на металл '!F$3*1.25*'Цены на металл '!F$4</f>
        <v>98.223124999999982</v>
      </c>
      <c r="H5" s="93">
        <f>'Цены на металл '!$V5/1000*7.85*'Цены на металл '!G$3*1.25*'Цены на металл '!G$4</f>
        <v>137.40443749999997</v>
      </c>
      <c r="I5" s="124">
        <f>'Цены на металл '!$V5/1000*7.85*'Цены на металл '!H$3*('Цены на металл '!H$4*1.3)+('Цены на металл '!H$5*'Цены на металл '!$V5/1000*7.85*'Цены на металл '!H$3)</f>
        <v>112.557225</v>
      </c>
      <c r="J5" s="124">
        <f>'Цены на металл '!$V5/1000*7.85*'Цены на металл '!I$3*('Цены на металл '!I$4*1.3)+('Цены на металл '!I$5*'Цены на металл '!$V5/1000*7.85*'Цены на металл '!I$3)</f>
        <v>143.25464999999997</v>
      </c>
      <c r="K5" s="124">
        <f>'Цены на металл '!$V5/1000*7.85*'Цены на металл '!J$3*('Цены на металл '!J$4*1.3)+('Цены на металл '!J$5*'Цены на металл '!$V5/1000*7.85*'Цены на металл '!J$3)</f>
        <v>209.1397</v>
      </c>
      <c r="L5" s="140">
        <f>'Цены на металл '!$V5/1000*7.85*'Цены на металл '!K$3*1.8*'Цены на металл '!K$4</f>
        <v>205.16759999999999</v>
      </c>
      <c r="M5" s="140">
        <f>'Цены на металл '!$V5/1000*7.85*'Цены на металл '!L$3*1.8*'Цены на металл '!L$4</f>
        <v>298.42559999999997</v>
      </c>
      <c r="N5" s="140">
        <f>'Цены на металл '!$V5/1000*7.85*'Цены на металл '!M$3*1.8*'Цены на металл '!M$4</f>
        <v>373.03199999999998</v>
      </c>
      <c r="O5" s="140">
        <f>'Цены на металл '!$V5/1000*7.85*'Цены на металл '!N$3*1.8*'Цены на металл '!N$4</f>
        <v>447.63839999999993</v>
      </c>
      <c r="P5" s="140">
        <f>'Цены на металл '!$V5/1000*7.85*'Цены на металл '!O$3*1.8*'Цены на металл '!O$4</f>
        <v>559.548</v>
      </c>
    </row>
    <row r="6" spans="1:16">
      <c r="A6" s="12" t="s">
        <v>1162</v>
      </c>
      <c r="B6" s="93">
        <f>'Цены на металл '!$V6/1000*7.85*'Цены на металл '!A$3*1.36*'Цены на металл '!A$4</f>
        <v>45.106099999999998</v>
      </c>
      <c r="C6" s="93">
        <f>'Цены на металл '!$V6/1000*7.85*'Цены на металл '!B$3*1.25*'Цены на металл '!B$4</f>
        <v>53.895156249999999</v>
      </c>
      <c r="D6" s="93">
        <f>'Цены на металл '!$V6/1000*7.85*'Цены на металл '!C$3*1.25*'Цены на металл '!C$4</f>
        <v>62.18671874999999</v>
      </c>
      <c r="E6" s="93">
        <f>'Цены на металл '!$V6/1000*7.85*'Цены на металл '!D$3*1.25*'Цены на металл '!D$4</f>
        <v>74.624062499999994</v>
      </c>
      <c r="F6" s="93">
        <f>'Цены на металл '!$V6/1000*7.85*'Цены на металл '!E$3*1.25*'Цены на металл '!E$4</f>
        <v>91.207187500000018</v>
      </c>
      <c r="G6" s="93">
        <f>'Цены на металл '!$V6/1000*7.85*'Цены на металл '!F$3*1.25*'Цены на металл '!F$4</f>
        <v>116.081875</v>
      </c>
      <c r="H6" s="93">
        <f>'Цены на металл '!$V6/1000*7.85*'Цены на металл '!G$3*1.25*'Цены на металл '!G$4</f>
        <v>162.38706249999998</v>
      </c>
      <c r="I6" s="124">
        <f>'Цены на металл '!$V6/1000*7.85*'Цены на металл '!H$3*('Цены на металл '!H$4*1.3)+('Цены на металл '!H$5*'Цены на металл '!$V6/1000*7.85*'Цены на металл '!H$3)</f>
        <v>133.02217500000003</v>
      </c>
      <c r="J6" s="124">
        <f>'Цены на металл '!$V6/1000*7.85*'Цены на металл '!I$3*('Цены на металл '!I$4*1.3)+('Цены на металл '!I$5*'Цены на металл '!$V6/1000*7.85*'Цены на металл '!I$3)</f>
        <v>169.30095</v>
      </c>
      <c r="K6" s="124">
        <f>'Цены на металл '!$V6/1000*7.85*'Цены на металл '!J$3*('Цены на металл '!J$4*1.3)+('Цены на металл '!J$5*'Цены на металл '!$V6/1000*7.85*'Цены на металл '!J$3)</f>
        <v>247.1651</v>
      </c>
      <c r="L6" s="140">
        <f>'Цены на металл '!$V6/1000*7.85*'Цены на металл '!K$3*1.8*'Цены на металл '!K$4</f>
        <v>242.47080000000005</v>
      </c>
      <c r="M6" s="140">
        <f>'Цены на металл '!$V6/1000*7.85*'Цены на металл '!L$3*1.8*'Цены на металл '!L$4</f>
        <v>352.68480000000005</v>
      </c>
      <c r="N6" s="140">
        <f>'Цены на металл '!$V6/1000*7.85*'Цены на металл '!M$3*1.8*'Цены на металл '!M$4</f>
        <v>440.85599999999999</v>
      </c>
      <c r="O6" s="140">
        <f>'Цены на металл '!$V6/1000*7.85*'Цены на металл '!N$3*1.8*'Цены на металл '!N$4</f>
        <v>529.02719999999999</v>
      </c>
      <c r="P6" s="140">
        <f>'Цены на металл '!$V6/1000*7.85*'Цены на металл '!O$3*1.8*'Цены на металл '!O$4</f>
        <v>661.28399999999999</v>
      </c>
    </row>
    <row r="7" spans="1:16">
      <c r="A7" s="10" t="s">
        <v>1163</v>
      </c>
      <c r="B7" s="93">
        <f>'Цены на металл '!$V7/1000*7.85*'Цены на металл '!A$3*1.36*'Цены на металл '!A$4</f>
        <v>62.454599999999992</v>
      </c>
      <c r="C7" s="93">
        <f>'Цены на металл '!$V7/1000*7.85*'Цены на металл '!B$3*1.25*'Цены на металл '!B$4</f>
        <v>74.62406249999998</v>
      </c>
      <c r="D7" s="93">
        <f>'Цены на металл '!$V7/1000*7.85*'Цены на металл '!C$3*1.25*'Цены на металл '!C$4</f>
        <v>86.104687499999969</v>
      </c>
      <c r="E7" s="93">
        <f>'Цены на металл '!$V7/1000*7.85*'Цены на металл '!D$3*1.25*'Цены на металл '!D$4</f>
        <v>103.32562499999999</v>
      </c>
      <c r="F7" s="93">
        <f>'Цены на металл '!$V7/1000*7.85*'Цены на металл '!E$3*1.25*'Цены на металл '!E$4</f>
        <v>126.28687499999999</v>
      </c>
      <c r="G7" s="93">
        <f>'Цены на металл '!$V7/1000*7.85*'Цены на металл '!F$3*1.25*'Цены на металл '!F$4</f>
        <v>160.72874999999996</v>
      </c>
      <c r="H7" s="93">
        <f>'Цены на металл '!$V7/1000*7.85*'Цены на металл '!G$3*1.25*'Цены на металл '!G$4</f>
        <v>224.84362499999995</v>
      </c>
      <c r="I7" s="124">
        <f>'Цены на металл '!$V7/1000*7.85*'Цены на металл '!H$3*('Цены на металл '!H$4*1.3)+('Цены на металл '!H$5*'Цены на металл '!$V7/1000*7.85*'Цены на металл '!H$3)</f>
        <v>184.18455</v>
      </c>
      <c r="J7" s="124">
        <f>'Цены на металл '!$V7/1000*7.85*'Цены на металл '!I$3*('Цены на металл '!I$4*1.3)+('Цены на металл '!I$5*'Цены на металл '!$V7/1000*7.85*'Цены на металл '!I$3)</f>
        <v>234.41669999999993</v>
      </c>
      <c r="K7" s="124">
        <f>'Цены на металл '!$V7/1000*7.85*'Цены на металл '!J$3*('Цены на металл '!J$4*1.3)+('Цены на металл '!J$5*'Цены на металл '!$V7/1000*7.85*'Цены на металл '!J$3)</f>
        <v>342.22860000000003</v>
      </c>
      <c r="L7" s="140">
        <f>'Цены на металл '!$V7/1000*7.85*'Цены на металл '!K$3*1.8*'Цены на металл '!K$4</f>
        <v>335.72880000000004</v>
      </c>
      <c r="M7" s="140">
        <f>'Цены на металл '!$V7/1000*7.85*'Цены на металл '!L$3*1.8*'Цены на металл '!L$4</f>
        <v>488.33279999999991</v>
      </c>
      <c r="N7" s="140">
        <f>'Цены на металл '!$V7/1000*7.85*'Цены на металл '!M$3*1.8*'Цены на металл '!M$4</f>
        <v>610.41599999999994</v>
      </c>
      <c r="O7" s="140">
        <f>'Цены на металл '!$V7/1000*7.85*'Цены на металл '!N$3*1.8*'Цены на металл '!N$4</f>
        <v>732.49919999999997</v>
      </c>
      <c r="P7" s="140">
        <f>'Цены на металл '!$V7/1000*7.85*'Цены на металл '!O$3*1.8*'Цены на металл '!O$4</f>
        <v>915.6239999999998</v>
      </c>
    </row>
    <row r="8" spans="1:16">
      <c r="A8" s="12" t="s">
        <v>1164</v>
      </c>
      <c r="B8" s="93">
        <f>'Цены на металл '!$V8/1000*7.85*'Цены на металл '!A$3*1.36*'Цены на металл '!A$4</f>
        <v>79.803100000000001</v>
      </c>
      <c r="C8" s="93">
        <f>'Цены на металл '!$V8/1000*7.85*'Цены на металл '!B$3*1.25*'Цены на металл '!B$4</f>
        <v>95.352968750000002</v>
      </c>
      <c r="D8" s="93">
        <f>'Цены на металл '!$V8/1000*7.85*'Цены на металл '!C$3*1.25*'Цены на металл '!C$4</f>
        <v>110.02265625</v>
      </c>
      <c r="E8" s="93">
        <f>'Цены на металл '!$V8/1000*7.85*'Цены на металл '!D$3*1.25*'Цены на металл '!D$4</f>
        <v>132.0271875</v>
      </c>
      <c r="F8" s="93">
        <f>'Цены на металл '!$V8/1000*7.85*'Цены на металл '!E$3*1.25*'Цены на металл '!E$4</f>
        <v>161.36656250000001</v>
      </c>
      <c r="G8" s="93">
        <f>'Цены на металл '!$V8/1000*7.85*'Цены на металл '!F$3*1.25*'Цены на металл '!F$4</f>
        <v>205.37562499999999</v>
      </c>
      <c r="H8" s="93">
        <f>'Цены на металл '!$V8/1000*7.85*'Цены на металл '!G$3*1.25*'Цены на металл '!G$4</f>
        <v>287.30018749999999</v>
      </c>
      <c r="I8" s="124">
        <f>'Цены на металл '!$V8/1000*7.85*'Цены на металл '!H$3*('Цены на металл '!H$4*1.3)+('Цены на металл '!H$5*'Цены на металл '!$V8/1000*7.85*'Цены на металл '!H$3)</f>
        <v>235.34692500000006</v>
      </c>
      <c r="J8" s="124">
        <f>'Цены на металл '!$V8/1000*7.85*'Цены на металл '!I$3*('Цены на металл '!I$4*1.3)+('Цены на металл '!I$5*'Цены на металл '!$V8/1000*7.85*'Цены на металл '!I$3)</f>
        <v>299.53244999999998</v>
      </c>
      <c r="K8" s="124">
        <f>'Цены на металл '!$V8/1000*7.85*'Цены на металл '!J$3*('Цены на металл '!J$4*1.3)+('Цены на металл '!J$5*'Цены на металл '!$V8/1000*7.85*'Цены на металл '!J$3)</f>
        <v>437.2921</v>
      </c>
      <c r="L8" s="140">
        <f>'Цены на металл '!$V8/1000*7.85*'Цены на металл '!K$3*1.8*'Цены на металл '!K$4</f>
        <v>428.98680000000007</v>
      </c>
      <c r="M8" s="140">
        <f>'Цены на металл '!$V8/1000*7.85*'Цены на металл '!L$3*1.8*'Цены на металл '!L$4</f>
        <v>623.98080000000016</v>
      </c>
      <c r="N8" s="140">
        <f>'Цены на металл '!$V8/1000*7.85*'Цены на металл '!M$3*1.8*'Цены на металл '!M$4</f>
        <v>779.97600000000011</v>
      </c>
      <c r="O8" s="140">
        <f>'Цены на металл '!$V8/1000*7.85*'Цены на металл '!N$3*1.8*'Цены на металл '!N$4</f>
        <v>935.97119999999995</v>
      </c>
      <c r="P8" s="140">
        <f>'Цены на металл '!$V8/1000*7.85*'Цены на металл '!O$3*1.8*'Цены на металл '!O$4</f>
        <v>1169.9640000000002</v>
      </c>
    </row>
    <row r="9" spans="1:16">
      <c r="A9" s="10" t="s">
        <v>1165</v>
      </c>
      <c r="B9" s="93">
        <f>'Цены на металл '!$V9/1000*7.85*'Цены на металл '!A$3*1.36*'Цены на металл '!A$4</f>
        <v>97.151600000000002</v>
      </c>
      <c r="C9" s="93">
        <f>'Цены на металл '!$V9/1000*7.85*'Цены на металл '!B$3*1.25*'Цены на металл '!B$4</f>
        <v>116.08187500000001</v>
      </c>
      <c r="D9" s="93">
        <f>'Цены на металл '!$V9/1000*7.85*'Цены на металл '!C$3*1.25*'Цены на металл '!C$4</f>
        <v>133.94062499999998</v>
      </c>
      <c r="E9" s="93">
        <f>'Цены на металл '!$V9/1000*7.85*'Цены на металл '!D$3*1.25*'Цены на металл '!D$4</f>
        <v>160.72874999999999</v>
      </c>
      <c r="F9" s="93">
        <f>'Цены на металл '!$V9/1000*7.85*'Цены на металл '!E$3*1.25*'Цены на металл '!E$4</f>
        <v>196.44625000000002</v>
      </c>
      <c r="G9" s="93">
        <f>'Цены на металл '!$V9/1000*7.85*'Цены на металл '!F$3*1.25*'Цены на металл '!F$4</f>
        <v>250.02249999999998</v>
      </c>
      <c r="H9" s="93">
        <f>'Цены на металл '!$V9/1000*7.85*'Цены на металл '!G$3*1.25*'Цены на металл '!G$4</f>
        <v>349.75675000000001</v>
      </c>
      <c r="I9" s="124">
        <f>'Цены на металл '!$V9/1000*7.85*'Цены на металл '!H$3*('Цены на металл '!H$4*1.3)+('Цены на металл '!H$5*'Цены на металл '!$V9/1000*7.85*'Цены на металл '!H$3)</f>
        <v>286.5093</v>
      </c>
      <c r="J9" s="124">
        <f>'Цены на металл '!$V9/1000*7.85*'Цены на металл '!I$3*('Цены на металл '!I$4*1.3)+('Цены на металл '!I$5*'Цены на металл '!$V9/1000*7.85*'Цены на металл '!I$3)</f>
        <v>364.64819999999997</v>
      </c>
      <c r="K9" s="124">
        <f>'Цены на металл '!$V9/1000*7.85*'Цены на металл '!J$3*('Цены на металл '!J$4*1.3)+('Цены на металл '!J$5*'Цены на металл '!$V9/1000*7.85*'Цены на металл '!J$3)</f>
        <v>532.35559999999998</v>
      </c>
      <c r="L9" s="140">
        <f>'Цены на металл '!$V9/1000*7.85*'Цены на металл '!K$3*1.8*'Цены на металл '!K$4</f>
        <v>522.24480000000005</v>
      </c>
      <c r="M9" s="140">
        <f>'Цены на металл '!$V9/1000*7.85*'Цены на металл '!L$3*1.8*'Цены на металл '!L$4</f>
        <v>759.62879999999996</v>
      </c>
      <c r="N9" s="140">
        <f>'Цены на металл '!$V9/1000*7.85*'Цены на металл '!M$3*1.8*'Цены на металл '!M$4</f>
        <v>949.53599999999994</v>
      </c>
      <c r="O9" s="140">
        <f>'Цены на металл '!$V9/1000*7.85*'Цены на металл '!N$3*1.8*'Цены на металл '!N$4</f>
        <v>1139.4431999999999</v>
      </c>
      <c r="P9" s="140">
        <f>'Цены на металл '!$V9/1000*7.85*'Цены на металл '!O$3*1.8*'Цены на металл '!O$4</f>
        <v>1424.3039999999999</v>
      </c>
    </row>
    <row r="10" spans="1:16">
      <c r="A10" s="10" t="s">
        <v>1166</v>
      </c>
      <c r="B10" s="93">
        <f>'Цены на металл '!$V10/1000*7.85*'Цены на металл '!A$3*1.36*'Цены на металл '!A$4</f>
        <v>114.5001</v>
      </c>
      <c r="C10" s="93">
        <f>'Цены на металл '!$V10/1000*7.85*'Цены на металл '!B$3*1.25*'Цены на металл '!B$4</f>
        <v>136.81078125000002</v>
      </c>
      <c r="D10" s="93">
        <f>'Цены на металл '!$V10/1000*7.85*'Цены на металл '!C$3*1.25*'Цены на металл '!C$4</f>
        <v>157.85859375000001</v>
      </c>
      <c r="E10" s="93">
        <f>'Цены на металл '!$V10/1000*7.85*'Цены на металл '!D$3*1.25*'Цены на металл '!D$4</f>
        <v>189.43031250000001</v>
      </c>
      <c r="F10" s="93">
        <f>'Цены на металл '!$V10/1000*7.85*'Цены на металл '!E$3*1.25*'Цены на металл '!E$4</f>
        <v>231.52593750000003</v>
      </c>
      <c r="G10" s="93">
        <f>'Цены на металл '!$V10/1000*7.85*'Цены на металл '!F$3*1.25*'Цены на металл '!F$4</f>
        <v>294.66937499999995</v>
      </c>
      <c r="H10" s="93">
        <f>'Цены на металл '!$V10/1000*7.85*'Цены на металл '!G$3*1.25*'Цены на металл '!G$4</f>
        <v>412.21331249999997</v>
      </c>
      <c r="I10" s="124">
        <f>'Цены на металл '!$V10/1000*7.85*'Цены на металл '!H$3*('Цены на металл '!H$4*1.3)+('Цены на металл '!H$5*'Цены на металл '!$V10/1000*7.85*'Цены на металл '!H$3)</f>
        <v>337.67167500000005</v>
      </c>
      <c r="J10" s="124">
        <f>'Цены на металл '!$V10/1000*7.85*'Цены на металл '!I$3*('Цены на металл '!I$4*1.3)+('Цены на металл '!I$5*'Цены на металл '!$V10/1000*7.85*'Цены на металл '!I$3)</f>
        <v>429.76394999999991</v>
      </c>
      <c r="K10" s="124">
        <f>'Цены на металл '!$V10/1000*7.85*'Цены на металл '!J$3*('Цены на металл '!J$4*1.3)+('Цены на металл '!J$5*'Цены на металл '!$V10/1000*7.85*'Цены на металл '!J$3)</f>
        <v>627.41910000000007</v>
      </c>
      <c r="L10" s="140">
        <f>'Цены на металл '!$V10/1000*7.85*'Цены на металл '!K$3*1.8*'Цены на металл '!K$4</f>
        <v>615.50280000000009</v>
      </c>
      <c r="M10" s="140">
        <f>'Цены на металл '!$V10/1000*7.85*'Цены на металл '!L$3*1.8*'Цены на металл '!L$4</f>
        <v>895.27680000000009</v>
      </c>
      <c r="N10" s="140">
        <f>'Цены на металл '!$V10/1000*7.85*'Цены на металл '!M$3*1.8*'Цены на металл '!M$4</f>
        <v>1119.096</v>
      </c>
      <c r="O10" s="140">
        <f>'Цены на металл '!$V10/1000*7.85*'Цены на металл '!N$3*1.8*'Цены на металл '!N$4</f>
        <v>1342.9152000000001</v>
      </c>
      <c r="P10" s="140">
        <f>'Цены на металл '!$V10/1000*7.85*'Цены на металл '!O$3*1.8*'Цены на металл '!O$4</f>
        <v>1678.644</v>
      </c>
    </row>
    <row r="11" spans="1:16">
      <c r="A11" s="10" t="s">
        <v>1167</v>
      </c>
      <c r="B11" s="93">
        <f>'Цены на металл '!$V11/1000*7.85*'Цены на металл '!A$3*1.36*'Цены на металл '!A$4</f>
        <v>149.19710000000001</v>
      </c>
      <c r="C11" s="93">
        <f>'Цены на металл '!$V11/1000*7.85*'Цены на металл '!B$3*1.25*'Цены на металл '!B$4</f>
        <v>178.26859374999998</v>
      </c>
      <c r="D11" s="93">
        <f>'Цены на металл '!$V11/1000*7.85*'Цены на металл '!C$3*1.25*'Цены на металл '!C$4</f>
        <v>205.69453125000001</v>
      </c>
      <c r="E11" s="93">
        <f>'Цены на металл '!$V11/1000*7.85*'Цены на металл '!D$3*1.25*'Цены на металл '!D$4</f>
        <v>246.8334375</v>
      </c>
      <c r="F11" s="93">
        <f>'Цены на металл '!$V11/1000*7.85*'Цены на металл '!E$3*1.25*'Цены на металл '!E$4</f>
        <v>301.68531250000001</v>
      </c>
      <c r="G11" s="93">
        <f>'Цены на металл '!$V11/1000*7.85*'Цены на металл '!F$3*1.25*'Цены на металл '!F$4</f>
        <v>383.96312499999993</v>
      </c>
      <c r="H11" s="93">
        <f>'Цены на металл '!$V11/1000*7.85*'Цены на металл '!G$3*1.25*'Цены на металл '!G$4</f>
        <v>537.12643749999995</v>
      </c>
      <c r="I11" s="124">
        <f>'Цены на металл '!$V11/1000*7.85*'Цены на металл '!H$3*('Цены на металл '!H$4*1.3)+('Цены на металл '!H$5*'Цены на металл '!$V11/1000*7.85*'Цены на металл '!H$3)</f>
        <v>439.99642500000004</v>
      </c>
      <c r="J11" s="124">
        <f>'Цены на металл '!$V11/1000*7.85*'Цены на металл '!I$3*('Цены на металл '!I$4*1.3)+('Цены на металл '!I$5*'Цены на металл '!$V11/1000*7.85*'Цены на металл '!I$3)</f>
        <v>559.99544999999989</v>
      </c>
      <c r="K11" s="124">
        <f>'Цены на металл '!$V11/1000*7.85*'Цены на металл '!J$3*('Цены на металл '!J$4*1.3)+('Цены на металл '!J$5*'Цены на металл '!$V11/1000*7.85*'Цены на металл '!J$3)</f>
        <v>817.54610000000002</v>
      </c>
      <c r="L11" s="140">
        <f>'Цены на металл '!$V11/1000*7.85*'Цены на металл '!K$3*1.8*'Цены на металл '!K$4</f>
        <v>802.01879999999994</v>
      </c>
      <c r="M11" s="140">
        <f>'Цены на металл '!$V11/1000*7.85*'Цены на металл '!L$3*1.8*'Цены на металл '!L$4</f>
        <v>1166.5728000000001</v>
      </c>
      <c r="N11" s="140">
        <f>'Цены на металл '!$V11/1000*7.85*'Цены на металл '!M$3*1.8*'Цены на металл '!M$4</f>
        <v>1458.2159999999999</v>
      </c>
      <c r="O11" s="140">
        <f>'Цены на металл '!$V11/1000*7.85*'Цены на металл '!N$3*1.8*'Цены на металл '!N$4</f>
        <v>1749.8591999999999</v>
      </c>
      <c r="P11" s="140">
        <f>'Цены на металл '!$V11/1000*7.85*'Цены на металл '!O$3*1.8*'Цены на металл '!O$4</f>
        <v>2187.3240000000001</v>
      </c>
    </row>
    <row r="12" spans="1:16">
      <c r="A12" s="10" t="s">
        <v>1168</v>
      </c>
      <c r="B12" s="123" t="s">
        <v>770</v>
      </c>
      <c r="C12" s="93">
        <f>'Цены на металл '!$V12/1000*7.85*'Цены на металл '!B$3*1.25*'Цены на металл '!B$4</f>
        <v>219.72640625</v>
      </c>
      <c r="D12" s="93">
        <f>'Цены на металл '!$V12/1000*7.85*'Цены на металл '!C$3*1.25*'Цены на металл '!C$4</f>
        <v>253.53046874999998</v>
      </c>
      <c r="E12" s="93">
        <f>'Цены на металл '!$V12/1000*7.85*'Цены на металл '!D$3*1.25*'Цены на металл '!D$4</f>
        <v>304.23656249999999</v>
      </c>
      <c r="F12" s="93">
        <f>'Цены на металл '!$V12/1000*7.85*'Цены на металл '!E$3*1.25*'Цены на металл '!E$4</f>
        <v>371.84468750000002</v>
      </c>
      <c r="G12" s="93">
        <f>'Цены на металл '!$V12/1000*7.85*'Цены на металл '!F$3*1.25*'Цены на металл '!F$4</f>
        <v>473.25687499999992</v>
      </c>
      <c r="H12" s="93">
        <f>'Цены на металл '!$V12/1000*7.85*'Цены на металл '!G$3*1.25*'Цены на металл '!G$4</f>
        <v>662.03956249999999</v>
      </c>
      <c r="I12" s="124">
        <f>'Цены на металл '!$V12/1000*7.85*'Цены на металл '!H$3*('Цены на металл '!H$4*1.3)+('Цены на металл '!H$5*'Цены на металл '!$V12/1000*7.85*'Цены на металл '!H$3)</f>
        <v>542.32117500000004</v>
      </c>
      <c r="J12" s="124">
        <f>'Цены на металл '!$V12/1000*7.85*'Цены на металл '!I$3*('Цены на металл '!I$4*1.3)+('Цены на металл '!I$5*'Цены на металл '!$V12/1000*7.85*'Цены на металл '!I$3)</f>
        <v>690.22694999999999</v>
      </c>
      <c r="K12" s="124">
        <f>'Цены на металл '!$V12/1000*7.85*'Цены на металл '!J$3*('Цены на металл '!J$4*1.3)+('Цены на металл '!J$5*'Цены на металл '!$V12/1000*7.85*'Цены на металл '!J$3)</f>
        <v>1007.6731000000001</v>
      </c>
      <c r="L12" s="140">
        <f>'Цены на металл '!$V12/1000*7.85*'Цены на металл '!K$3*1.8*'Цены на металл '!K$4</f>
        <v>988.53480000000002</v>
      </c>
      <c r="M12" s="140">
        <f>'Цены на металл '!$V12/1000*7.85*'Цены на металл '!L$3*1.8*'Цены на металл '!L$4</f>
        <v>1437.8688000000002</v>
      </c>
      <c r="N12" s="140">
        <f>'Цены на металл '!$V12/1000*7.85*'Цены на металл '!M$3*1.8*'Цены на металл '!M$4</f>
        <v>1797.336</v>
      </c>
      <c r="O12" s="140">
        <f>'Цены на металл '!$V12/1000*7.85*'Цены на металл '!N$3*1.8*'Цены на металл '!N$4</f>
        <v>2156.8031999999998</v>
      </c>
      <c r="P12" s="140">
        <f>'Цены на металл '!$V12/1000*7.85*'Цены на металл '!O$3*1.8*'Цены на металл '!O$4</f>
        <v>2696.0040000000004</v>
      </c>
    </row>
    <row r="13" spans="1:16">
      <c r="A13" s="10" t="s">
        <v>1169</v>
      </c>
      <c r="B13" s="123" t="s">
        <v>770</v>
      </c>
      <c r="C13" s="93">
        <f>'Цены на металл '!$V13/1000*7.85*'Цены на металл '!B$3*1.25*'Цены на металл '!B$4</f>
        <v>261.18421875000001</v>
      </c>
      <c r="D13" s="93">
        <f>'Цены на металл '!$V13/1000*7.85*'Цены на металл '!C$3*1.25*'Цены на металл '!C$4</f>
        <v>301.36640625000001</v>
      </c>
      <c r="E13" s="93">
        <f>'Цены на металл '!$V13/1000*7.85*'Цены на металл '!D$3*1.25*'Цены на металл '!D$4</f>
        <v>361.63968749999998</v>
      </c>
      <c r="F13" s="93">
        <f>'Цены на металл '!$V13/1000*7.85*'Цены на металл '!E$3*1.25*'Цены на металл '!E$4</f>
        <v>442.00406250000003</v>
      </c>
      <c r="G13" s="93">
        <f>'Цены на металл '!$V13/1000*7.85*'Цены на металл '!F$3*1.25*'Цены на металл '!F$4</f>
        <v>562.55062499999997</v>
      </c>
      <c r="H13" s="93">
        <f>'Цены на металл '!$V13/1000*7.85*'Цены на металл '!G$3*1.25*'Цены на металл '!G$4</f>
        <v>786.95268750000002</v>
      </c>
      <c r="I13" s="124">
        <f>'Цены на металл '!$V13/1000*7.85*'Цены на металл '!H$3*('Цены на металл '!H$4*1.3)+('Цены на металл '!H$5*'Цены на металл '!$V13/1000*7.85*'Цены на металл '!H$3)</f>
        <v>644.64592500000003</v>
      </c>
      <c r="J13" s="124">
        <f>'Цены на металл '!$V13/1000*7.85*'Цены на металл '!I$3*('Цены на металл '!I$4*1.3)+('Цены на металл '!I$5*'Цены на металл '!$V13/1000*7.85*'Цены на металл '!I$3)</f>
        <v>820.45844999999986</v>
      </c>
      <c r="K13" s="124">
        <f>'Цены на металл '!$V13/1000*7.85*'Цены на металл '!J$3*('Цены на металл '!J$4*1.3)+('Цены на металл '!J$5*'Цены на металл '!$V13/1000*7.85*'Цены на металл '!J$3)</f>
        <v>1197.8000999999999</v>
      </c>
      <c r="L13" s="140">
        <f>'Цены на металл '!$V13/1000*7.85*'Цены на металл '!K$3*1.8*'Цены на металл '!K$4</f>
        <v>1175.0508</v>
      </c>
      <c r="M13" s="140">
        <f>'Цены на металл '!$V13/1000*7.85*'Цены на металл '!L$3*1.8*'Цены на металл '!L$4</f>
        <v>1709.1648000000002</v>
      </c>
      <c r="N13" s="140">
        <f>'Цены на металл '!$V13/1000*7.85*'Цены на металл '!M$3*1.8*'Цены на металл '!M$4</f>
        <v>2136.4559999999997</v>
      </c>
      <c r="O13" s="140">
        <f>'Цены на металл '!$V13/1000*7.85*'Цены на металл '!N$3*1.8*'Цены на металл '!N$4</f>
        <v>2563.7472000000002</v>
      </c>
      <c r="P13" s="140">
        <f>'Цены на металл '!$V13/1000*7.85*'Цены на металл '!O$3*1.8*'Цены на металл '!O$4</f>
        <v>3204.6840000000007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1:H1"/>
    <mergeCell ref="I1:K1"/>
    <mergeCell ref="L1:P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8"/>
  <dimension ref="A1:R211"/>
  <sheetViews>
    <sheetView zoomScale="90" zoomScaleNormal="9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H1" sqref="H1:H1048576"/>
    </sheetView>
  </sheetViews>
  <sheetFormatPr defaultColWidth="9.125" defaultRowHeight="14.3"/>
  <cols>
    <col min="1" max="1" width="69" style="422" bestFit="1" customWidth="1"/>
    <col min="2" max="3" width="7.875" style="354" customWidth="1"/>
    <col min="4" max="4" width="8.75" style="632" customWidth="1"/>
    <col min="5" max="5" width="9.75" style="632" customWidth="1"/>
    <col min="6" max="6" width="8.75" style="686" customWidth="1"/>
    <col min="7" max="7" width="9.375" style="686" customWidth="1"/>
    <col min="8" max="8" width="18.75" style="200" hidden="1" customWidth="1"/>
    <col min="9" max="9" width="16.75" style="200" customWidth="1"/>
    <col min="10" max="10" width="32.125" style="200" bestFit="1" customWidth="1"/>
    <col min="11" max="16384" width="9.125" style="200"/>
  </cols>
  <sheetData>
    <row r="1" spans="1:16" ht="37.549999999999997" customHeight="1">
      <c r="A1" s="617" t="s">
        <v>2</v>
      </c>
      <c r="B1" s="870" t="s">
        <v>2271</v>
      </c>
      <c r="C1" s="871"/>
      <c r="D1" s="874" t="s">
        <v>2272</v>
      </c>
      <c r="E1" s="875"/>
      <c r="F1" s="872" t="s">
        <v>2273</v>
      </c>
      <c r="G1" s="873"/>
      <c r="H1" s="749" t="s">
        <v>2287</v>
      </c>
      <c r="I1" s="797" t="s">
        <v>2304</v>
      </c>
      <c r="J1" s="829" t="s">
        <v>3595</v>
      </c>
    </row>
    <row r="2" spans="1:16" ht="18" customHeight="1" thickBot="1">
      <c r="A2" s="618" t="s">
        <v>22</v>
      </c>
      <c r="B2" s="359">
        <v>1.5</v>
      </c>
      <c r="C2" s="359">
        <v>2</v>
      </c>
      <c r="D2" s="633">
        <v>1.5</v>
      </c>
      <c r="E2" s="633">
        <v>2</v>
      </c>
      <c r="F2" s="687">
        <v>1.5</v>
      </c>
      <c r="G2" s="688">
        <v>2</v>
      </c>
      <c r="H2" s="750">
        <v>50</v>
      </c>
      <c r="I2" s="798"/>
      <c r="J2" s="830"/>
    </row>
    <row r="3" spans="1:16" ht="20.05" customHeight="1">
      <c r="A3" s="458" t="s">
        <v>2236</v>
      </c>
      <c r="B3" s="444">
        <f>'Системы подвеса (2)'!B4*1.8*($H$2/100+1)</f>
        <v>83.779312500000003</v>
      </c>
      <c r="C3" s="444">
        <f>'Системы подвеса (2)'!C4*1.8*($H$2/100+1)</f>
        <v>88.188749999999999</v>
      </c>
      <c r="D3" s="634">
        <f>'Системы подвеса (2)'!D4*1.8*($H$2/100+1)</f>
        <v>131.29593750000001</v>
      </c>
      <c r="E3" s="634">
        <f>'Системы подвеса (2)'!E4*1.8*($H$2/100+1)</f>
        <v>138.20625000000001</v>
      </c>
      <c r="F3" s="689">
        <f>'Системы подвеса (2)'!F4*1.8*($H$2/100+1)</f>
        <v>268.51500000000004</v>
      </c>
      <c r="G3" s="690">
        <f>'Системы подвеса (2)'!G4*1.8*($H$2/100+1)</f>
        <v>315.89999999999998</v>
      </c>
    </row>
    <row r="4" spans="1:16" ht="20.05" customHeight="1">
      <c r="A4" s="459" t="s">
        <v>2237</v>
      </c>
      <c r="B4" s="389">
        <f>'Системы подвеса (2)'!B5*1.8*($H$2/100+1)</f>
        <v>134.04690000000002</v>
      </c>
      <c r="C4" s="389">
        <f>'Системы подвеса (2)'!C5*1.8*($H$2/100+1)</f>
        <v>141.10200000000003</v>
      </c>
      <c r="D4" s="635">
        <f>'Системы подвеса (2)'!D5*1.8*($H$2/100+1)</f>
        <v>210.07350000000002</v>
      </c>
      <c r="E4" s="635">
        <f>'Системы подвеса (2)'!E5*1.8*($H$2/100+1)</f>
        <v>221.13000000000002</v>
      </c>
      <c r="F4" s="594">
        <f>'Системы подвеса (2)'!F5*1.8*($H$2/100+1)</f>
        <v>429.62400000000002</v>
      </c>
      <c r="G4" s="595">
        <f>'Системы подвеса (2)'!G5*1.8*($H$2/100+1)</f>
        <v>505.44000000000005</v>
      </c>
    </row>
    <row r="5" spans="1:16" ht="20.05" customHeight="1">
      <c r="A5" s="459" t="s">
        <v>2238</v>
      </c>
      <c r="B5" s="389">
        <f>'Системы подвеса (2)'!B6*1.8*($H$2/100+1)</f>
        <v>167.55862500000001</v>
      </c>
      <c r="C5" s="389">
        <f>'Системы подвеса (2)'!C6*1.8*($H$2/100+1)</f>
        <v>176.3775</v>
      </c>
      <c r="D5" s="635">
        <f>'Системы подвеса (2)'!D6*1.8*($H$2/100+1)</f>
        <v>262.59187500000002</v>
      </c>
      <c r="E5" s="635">
        <f>'Системы подвеса (2)'!E6*1.8*($H$2/100+1)</f>
        <v>276.41250000000002</v>
      </c>
      <c r="F5" s="594">
        <f>'Системы подвеса (2)'!F6*1.8*($H$2/100+1)</f>
        <v>537.03000000000009</v>
      </c>
      <c r="G5" s="595">
        <f>'Системы подвеса (2)'!G6*1.8*($H$2/100+1)</f>
        <v>631.79999999999995</v>
      </c>
    </row>
    <row r="6" spans="1:16" ht="20.05" customHeight="1">
      <c r="A6" s="459" t="s">
        <v>2239</v>
      </c>
      <c r="B6" s="389">
        <f>'Системы подвеса (2)'!B7*1.8*($H$2/100+1)</f>
        <v>204.16374000000002</v>
      </c>
      <c r="C6" s="389">
        <f>'Системы подвеса (2)'!C7*1.8*($H$2/100+1)</f>
        <v>214.9092</v>
      </c>
      <c r="D6" s="635">
        <f>'Системы подвеса (2)'!D7*1.8*($H$2/100+1)</f>
        <v>319.95809999999994</v>
      </c>
      <c r="E6" s="635">
        <f>'Системы подвеса (2)'!E7*1.8*($H$2/100+1)</f>
        <v>336.798</v>
      </c>
      <c r="F6" s="594">
        <f>'Системы подвеса (2)'!F7*1.8*($H$2/100+1)</f>
        <v>654.35040000000004</v>
      </c>
      <c r="G6" s="595">
        <f>'Системы подвеса (2)'!G7*1.8*($H$2/100+1)</f>
        <v>769.82400000000007</v>
      </c>
    </row>
    <row r="7" spans="1:16" ht="20.05" customHeight="1">
      <c r="A7" s="459" t="s">
        <v>2242</v>
      </c>
      <c r="B7" s="389">
        <f>'Системы подвеса (2)'!B8*1.8*($H$2/100+1)</f>
        <v>235.09763999999996</v>
      </c>
      <c r="C7" s="389">
        <f>'Системы подвеса (2)'!C8*1.8*($H$2/100+1)</f>
        <v>247.47119999999998</v>
      </c>
      <c r="D7" s="635">
        <f>'Системы подвеса (2)'!D8*1.8*($H$2/100+1)</f>
        <v>368.43659999999994</v>
      </c>
      <c r="E7" s="635">
        <f>'Системы подвеса (2)'!E8*1.8*($H$2/100+1)</f>
        <v>387.82799999999997</v>
      </c>
      <c r="F7" s="594">
        <f>'Системы подвеса (2)'!F8*1.8*($H$2/100+1)</f>
        <v>753.49440000000004</v>
      </c>
      <c r="G7" s="595">
        <f>'Системы подвеса (2)'!G8*1.8*($H$2/100+1)</f>
        <v>886.46399999999994</v>
      </c>
    </row>
    <row r="8" spans="1:16" ht="20.05" customHeight="1">
      <c r="A8" s="460" t="s">
        <v>2240</v>
      </c>
      <c r="B8" s="389">
        <f>'Системы подвеса (2)'!B9*1.8*($H$2/100+1)</f>
        <v>309.339</v>
      </c>
      <c r="C8" s="389">
        <f>'Системы подвеса (2)'!C9*1.8*($H$2/100+1)</f>
        <v>325.62</v>
      </c>
      <c r="D8" s="635">
        <f>'Системы подвеса (2)'!D9*1.8*($H$2/100+1)</f>
        <v>484.78499999999997</v>
      </c>
      <c r="E8" s="635">
        <f>'Системы подвеса (2)'!E9*1.8*($H$2/100+1)</f>
        <v>510.29999999999995</v>
      </c>
      <c r="F8" s="594">
        <f>'Системы подвеса (2)'!F9*1.8*($H$2/100+1)</f>
        <v>991.44</v>
      </c>
      <c r="G8" s="595">
        <f>'Системы подвеса (2)'!G9*1.8*($H$2/100+1)</f>
        <v>1166.4000000000001</v>
      </c>
    </row>
    <row r="9" spans="1:16" ht="20.05" customHeight="1" thickBot="1">
      <c r="A9" s="461" t="s">
        <v>2241</v>
      </c>
      <c r="B9" s="394">
        <f>'Системы подвеса (2)'!B10*1.8*($H$2/100+1)</f>
        <v>360.89549999999997</v>
      </c>
      <c r="C9" s="394">
        <f>'Системы подвеса (2)'!C10*1.8*($H$2/100+1)</f>
        <v>379.89</v>
      </c>
      <c r="D9" s="636">
        <f>'Системы подвеса (2)'!D10*1.8*($H$2/100+1)</f>
        <v>565.58249999999998</v>
      </c>
      <c r="E9" s="636">
        <f>'Системы подвеса (2)'!E10*1.8*($H$2/100+1)</f>
        <v>595.35</v>
      </c>
      <c r="F9" s="597">
        <f>'Системы подвеса (2)'!F10*1.8*($H$2/100+1)</f>
        <v>1156.6799999999998</v>
      </c>
      <c r="G9" s="598">
        <f>'Системы подвеса (2)'!G10*1.8*($H$2/100+1)</f>
        <v>1360.8</v>
      </c>
    </row>
    <row r="10" spans="1:16" ht="20.05" customHeight="1">
      <c r="A10" s="761" t="s">
        <v>3306</v>
      </c>
      <c r="B10" s="389">
        <v>130.69572749999998</v>
      </c>
      <c r="C10" s="389">
        <v>137.57445000000001</v>
      </c>
      <c r="D10" s="635">
        <v>204.8216625</v>
      </c>
      <c r="E10" s="635">
        <v>215.60174999999998</v>
      </c>
      <c r="F10" s="691">
        <v>418.88340000000005</v>
      </c>
      <c r="G10" s="691">
        <v>492.80399999999997</v>
      </c>
      <c r="K10" s="201"/>
      <c r="L10" s="201"/>
      <c r="M10" s="201"/>
      <c r="N10" s="201"/>
      <c r="O10" s="201"/>
      <c r="P10" s="201"/>
    </row>
    <row r="11" spans="1:16" ht="20.05" customHeight="1">
      <c r="A11" s="762" t="s">
        <v>3307</v>
      </c>
      <c r="B11" s="389">
        <v>209.11316400000004</v>
      </c>
      <c r="C11" s="389">
        <v>220.11912000000007</v>
      </c>
      <c r="D11" s="635">
        <v>327.71466000000004</v>
      </c>
      <c r="E11" s="635">
        <v>344.96280000000002</v>
      </c>
      <c r="F11" s="594">
        <v>670.21343999999999</v>
      </c>
      <c r="G11" s="594">
        <v>788.48640000000023</v>
      </c>
      <c r="K11" s="201"/>
      <c r="L11" s="201"/>
      <c r="M11" s="201"/>
      <c r="N11" s="201"/>
      <c r="O11" s="201"/>
      <c r="P11" s="201"/>
    </row>
    <row r="12" spans="1:16" ht="20.05" customHeight="1">
      <c r="A12" s="762" t="s">
        <v>3308</v>
      </c>
      <c r="B12" s="389">
        <v>261.39145499999995</v>
      </c>
      <c r="C12" s="389">
        <v>275.14890000000003</v>
      </c>
      <c r="D12" s="635">
        <v>409.643325</v>
      </c>
      <c r="E12" s="635">
        <v>431.20349999999996</v>
      </c>
      <c r="F12" s="594">
        <v>837.7668000000001</v>
      </c>
      <c r="G12" s="594">
        <v>985.60799999999995</v>
      </c>
      <c r="K12" s="201"/>
      <c r="L12" s="201"/>
      <c r="M12" s="201"/>
      <c r="N12" s="201"/>
      <c r="O12" s="201"/>
      <c r="P12" s="201"/>
    </row>
    <row r="13" spans="1:16" ht="20.05" customHeight="1">
      <c r="A13" s="762" t="s">
        <v>3309</v>
      </c>
      <c r="B13" s="389">
        <v>318.49543440000002</v>
      </c>
      <c r="C13" s="389">
        <v>335.25835199999995</v>
      </c>
      <c r="D13" s="635">
        <v>499.134636</v>
      </c>
      <c r="E13" s="635">
        <v>525.40487999999993</v>
      </c>
      <c r="F13" s="594">
        <v>1020.7866240000001</v>
      </c>
      <c r="G13" s="594">
        <v>1200.92544</v>
      </c>
      <c r="K13" s="201"/>
      <c r="L13" s="201"/>
      <c r="M13" s="201"/>
      <c r="N13" s="201"/>
      <c r="O13" s="201"/>
      <c r="P13" s="201"/>
    </row>
    <row r="14" spans="1:16" ht="20.05" customHeight="1">
      <c r="A14" s="762" t="s">
        <v>3310</v>
      </c>
      <c r="B14" s="389">
        <v>366.75231839999998</v>
      </c>
      <c r="C14" s="389">
        <v>386.055072</v>
      </c>
      <c r="D14" s="635">
        <v>574.76109599999995</v>
      </c>
      <c r="E14" s="635">
        <v>605.01167999999984</v>
      </c>
      <c r="F14" s="594">
        <v>1175.451264</v>
      </c>
      <c r="G14" s="594">
        <v>1382.88384</v>
      </c>
      <c r="K14" s="201"/>
      <c r="L14" s="201"/>
      <c r="M14" s="201"/>
      <c r="N14" s="201"/>
      <c r="O14" s="201"/>
      <c r="P14" s="201"/>
    </row>
    <row r="15" spans="1:16" ht="20.05" customHeight="1" thickBot="1">
      <c r="A15" s="763" t="s">
        <v>3311</v>
      </c>
      <c r="B15" s="389">
        <v>482.56884000000002</v>
      </c>
      <c r="C15" s="389">
        <v>507.96719999999993</v>
      </c>
      <c r="D15" s="635">
        <v>756.26459999999997</v>
      </c>
      <c r="E15" s="635">
        <v>796.06799999999998</v>
      </c>
      <c r="F15" s="594">
        <v>1546.6464000000001</v>
      </c>
      <c r="G15" s="594">
        <v>1819.5840000000001</v>
      </c>
      <c r="K15" s="201"/>
      <c r="L15" s="201"/>
      <c r="M15" s="201"/>
      <c r="N15" s="201"/>
      <c r="O15" s="201"/>
      <c r="P15" s="201"/>
    </row>
    <row r="16" spans="1:16" ht="20.05" customHeight="1">
      <c r="A16" s="764" t="s">
        <v>2217</v>
      </c>
      <c r="B16" s="444">
        <f>'Системы подвеса (2)'!B17*2*($H$2/100+1)</f>
        <v>74.470500000000015</v>
      </c>
      <c r="C16" s="444">
        <f>'Системы подвеса (2)'!C17*2*($H$2/100+1)</f>
        <v>78.390000000000015</v>
      </c>
      <c r="D16" s="634">
        <f>'Системы подвеса (2)'!D17*2*($H$2/100+1)</f>
        <v>116.70750000000001</v>
      </c>
      <c r="E16" s="634">
        <f>'Системы подвеса (2)'!E17*2*($H$2/100+1)</f>
        <v>122.85000000000001</v>
      </c>
      <c r="F16" s="689">
        <f>'Системы подвеса (2)'!F17*2*($H$2/100+1)</f>
        <v>238.68</v>
      </c>
      <c r="G16" s="692">
        <f>'Системы подвеса (2)'!G17*2*($H$2/100+1)</f>
        <v>280.8</v>
      </c>
      <c r="H16" s="202"/>
    </row>
    <row r="17" spans="1:16" ht="20.05" customHeight="1">
      <c r="A17" s="462" t="s">
        <v>2218</v>
      </c>
      <c r="B17" s="391">
        <f>'Системы подвеса (2)'!B18*2*($H$2/100+1)</f>
        <v>111.70574999999999</v>
      </c>
      <c r="C17" s="391">
        <f>'Системы подвеса (2)'!C18*2*($H$2/100+1)</f>
        <v>117.58500000000001</v>
      </c>
      <c r="D17" s="637">
        <f>'Системы подвеса (2)'!D18*2*($H$2/100+1)</f>
        <v>175.06125</v>
      </c>
      <c r="E17" s="637">
        <f>'Системы подвеса (2)'!E18*2*($H$2/100+1)</f>
        <v>184.27500000000001</v>
      </c>
      <c r="F17" s="594">
        <f>'Системы подвеса (2)'!F18*2*($H$2/100+1)</f>
        <v>358.02</v>
      </c>
      <c r="G17" s="693">
        <f>'Системы подвеса (2)'!G18*2*($H$2/100+1)</f>
        <v>421.20000000000005</v>
      </c>
      <c r="H17" s="202"/>
    </row>
    <row r="18" spans="1:16" ht="20.05" customHeight="1">
      <c r="A18" s="462" t="s">
        <v>2219</v>
      </c>
      <c r="B18" s="391">
        <f>'Системы подвеса (2)'!B19*2*($H$2/100+1)</f>
        <v>154.6695</v>
      </c>
      <c r="C18" s="391">
        <f>'Системы подвеса (2)'!C19*2*($H$2/100+1)</f>
        <v>162.81</v>
      </c>
      <c r="D18" s="637">
        <f>'Системы подвеса (2)'!D19*2*($H$2/100+1)</f>
        <v>262.59187500000002</v>
      </c>
      <c r="E18" s="637">
        <f>'Системы подвеса (2)'!E19*2*($H$2/100+1)</f>
        <v>276.41250000000002</v>
      </c>
      <c r="F18" s="594">
        <f>'Системы подвеса (2)'!F19*2*($H$2/100+1)</f>
        <v>537.03</v>
      </c>
      <c r="G18" s="693">
        <f>'Системы подвеса (2)'!G19*2*($H$2/100+1)</f>
        <v>631.79999999999995</v>
      </c>
      <c r="H18" s="202"/>
    </row>
    <row r="19" spans="1:16" ht="20.05" customHeight="1">
      <c r="A19" s="462" t="s">
        <v>2220</v>
      </c>
      <c r="B19" s="391">
        <f>'Системы подвеса (2)'!B20*2*($H$2/100+1)</f>
        <v>237.15989999999999</v>
      </c>
      <c r="C19" s="391">
        <f>'Системы подвеса (2)'!C20*2*($H$2/100+1)</f>
        <v>249.642</v>
      </c>
      <c r="D19" s="637">
        <f>'Системы подвеса (2)'!D20*2*($H$2/100+1)</f>
        <v>371.66849999999988</v>
      </c>
      <c r="E19" s="637">
        <f>'Системы подвеса (2)'!E20*2*($H$2/100+1)</f>
        <v>391.2299999999999</v>
      </c>
      <c r="F19" s="594">
        <f>'Системы подвеса (2)'!F20*2*($H$2/100+1)</f>
        <v>760.10399999999993</v>
      </c>
      <c r="G19" s="693">
        <f>'Системы подвеса (2)'!G20*2*($H$2/100+1)</f>
        <v>894.24</v>
      </c>
      <c r="H19" s="202"/>
    </row>
    <row r="20" spans="1:16" ht="20.05" customHeight="1">
      <c r="A20" s="462" t="s">
        <v>2221</v>
      </c>
      <c r="B20" s="391">
        <f>'Системы подвеса (2)'!B21*2*($H$2/100+1)</f>
        <v>274.96800000000002</v>
      </c>
      <c r="C20" s="391">
        <f>'Системы подвеса (2)'!C21*2*($H$2/100+1)</f>
        <v>289.44</v>
      </c>
      <c r="D20" s="637">
        <f>'Системы подвеса (2)'!D21*2*($H$2/100+1)</f>
        <v>430.91999999999996</v>
      </c>
      <c r="E20" s="637">
        <f>'Системы подвеса (2)'!E21*2*($H$2/100+1)</f>
        <v>453.59999999999997</v>
      </c>
      <c r="F20" s="594">
        <f>'Системы подвеса (2)'!F21*2*($H$2/100+1)</f>
        <v>881.28</v>
      </c>
      <c r="G20" s="693">
        <f>'Системы подвеса (2)'!G21*2*($H$2/100+1)</f>
        <v>1036.8</v>
      </c>
      <c r="H20" s="202"/>
    </row>
    <row r="21" spans="1:16" ht="20.05" customHeight="1">
      <c r="A21" s="462" t="s">
        <v>2222</v>
      </c>
      <c r="B21" s="391">
        <f>'Системы подвеса (2)'!B22*2*($H$2/100+1)</f>
        <v>419.32619999999986</v>
      </c>
      <c r="C21" s="391">
        <f>'Системы подвеса (2)'!C22*2*($H$2/100+1)</f>
        <v>441.39599999999996</v>
      </c>
      <c r="D21" s="637">
        <f>'Системы подвеса (2)'!D22*2*($H$2/100+1)</f>
        <v>657.15299999999991</v>
      </c>
      <c r="E21" s="637">
        <f>'Системы подвеса (2)'!E22*2*($H$2/100+1)</f>
        <v>691.7399999999999</v>
      </c>
      <c r="F21" s="594">
        <f>'Системы подвеса (2)'!F22*2*($H$2/100+1)</f>
        <v>1343.9520000000002</v>
      </c>
      <c r="G21" s="693">
        <f>'Системы подвеса (2)'!G22*2*($H$2/100+1)</f>
        <v>1581.1200000000003</v>
      </c>
      <c r="H21" s="202"/>
    </row>
    <row r="22" spans="1:16" ht="20.05" customHeight="1" thickBot="1">
      <c r="A22" s="463" t="s">
        <v>2223</v>
      </c>
      <c r="B22" s="394">
        <f>'Системы подвеса (2)'!B23*2*($H$2/100+1)</f>
        <v>481.1939999999999</v>
      </c>
      <c r="C22" s="394">
        <f>'Системы подвеса (2)'!C23*2*($H$2/100+1)</f>
        <v>506.51999999999992</v>
      </c>
      <c r="D22" s="636">
        <f>'Системы подвеса (2)'!D23*2*($H$2/100+1)</f>
        <v>754.1099999999999</v>
      </c>
      <c r="E22" s="636">
        <f>'Системы подвеса (2)'!E23*2*($H$2/100+1)</f>
        <v>793.8</v>
      </c>
      <c r="F22" s="597">
        <f>'Системы подвеса (2)'!F23*2*($H$2/100+1)</f>
        <v>1542.2399999999998</v>
      </c>
      <c r="G22" s="694">
        <f>'Системы подвеса (2)'!G23*2*($H$2/100+1)</f>
        <v>1814.3999999999999</v>
      </c>
      <c r="H22" s="202"/>
    </row>
    <row r="23" spans="1:16" ht="20.05" customHeight="1">
      <c r="A23" s="764" t="s">
        <v>2224</v>
      </c>
      <c r="B23" s="389" t="s">
        <v>770</v>
      </c>
      <c r="C23" s="389">
        <v>297.5</v>
      </c>
      <c r="D23" s="635" t="s">
        <v>770</v>
      </c>
      <c r="E23" s="635">
        <v>510</v>
      </c>
      <c r="F23" s="691" t="s">
        <v>770</v>
      </c>
      <c r="G23" s="695">
        <v>1783.2149999999999</v>
      </c>
      <c r="P23" s="201"/>
    </row>
    <row r="24" spans="1:16" ht="20.05" customHeight="1">
      <c r="A24" s="462" t="s">
        <v>2254</v>
      </c>
      <c r="B24" s="391" t="s">
        <v>770</v>
      </c>
      <c r="C24" s="391">
        <v>318.75</v>
      </c>
      <c r="D24" s="635" t="s">
        <v>770</v>
      </c>
      <c r="E24" s="635">
        <v>535.5</v>
      </c>
      <c r="F24" s="594" t="s">
        <v>770</v>
      </c>
      <c r="G24" s="695">
        <v>1831.4099999999999</v>
      </c>
      <c r="P24" s="201"/>
    </row>
    <row r="25" spans="1:16" ht="20.05" customHeight="1">
      <c r="A25" s="462" t="s">
        <v>2225</v>
      </c>
      <c r="B25" s="391" t="s">
        <v>770</v>
      </c>
      <c r="C25" s="391">
        <v>340</v>
      </c>
      <c r="D25" s="635" t="s">
        <v>770</v>
      </c>
      <c r="E25" s="635">
        <v>612</v>
      </c>
      <c r="F25" s="594" t="s">
        <v>770</v>
      </c>
      <c r="G25" s="695">
        <v>2014.5</v>
      </c>
      <c r="P25" s="201"/>
    </row>
    <row r="26" spans="1:16" ht="20.05" customHeight="1">
      <c r="A26" s="462" t="s">
        <v>2255</v>
      </c>
      <c r="B26" s="391" t="s">
        <v>770</v>
      </c>
      <c r="C26" s="391">
        <v>425</v>
      </c>
      <c r="D26" s="635" t="s">
        <v>770</v>
      </c>
      <c r="E26" s="635">
        <v>765</v>
      </c>
      <c r="F26" s="594" t="s">
        <v>770</v>
      </c>
      <c r="G26" s="695">
        <v>2103.75</v>
      </c>
      <c r="P26" s="201"/>
    </row>
    <row r="27" spans="1:16" ht="20.05" customHeight="1">
      <c r="A27" s="462" t="s">
        <v>2226</v>
      </c>
      <c r="B27" s="391" t="s">
        <v>770</v>
      </c>
      <c r="C27" s="391">
        <v>452.625</v>
      </c>
      <c r="D27" s="635" t="s">
        <v>770</v>
      </c>
      <c r="E27" s="635">
        <v>816</v>
      </c>
      <c r="F27" s="594" t="s">
        <v>770</v>
      </c>
      <c r="G27" s="695">
        <v>2216.9699999999998</v>
      </c>
      <c r="P27" s="201"/>
    </row>
    <row r="28" spans="1:16" ht="20.05" customHeight="1">
      <c r="A28" s="462" t="s">
        <v>2227</v>
      </c>
      <c r="B28" s="391" t="s">
        <v>770</v>
      </c>
      <c r="C28" s="391">
        <v>552.54993750000006</v>
      </c>
      <c r="D28" s="635" t="s">
        <v>770</v>
      </c>
      <c r="E28" s="635">
        <v>994.5</v>
      </c>
      <c r="F28" s="594" t="s">
        <v>770</v>
      </c>
      <c r="G28" s="695">
        <v>2702.3624999999997</v>
      </c>
      <c r="P28" s="201"/>
    </row>
    <row r="29" spans="1:16" ht="20.05" customHeight="1">
      <c r="A29" s="462" t="s">
        <v>2228</v>
      </c>
      <c r="B29" s="391" t="s">
        <v>770</v>
      </c>
      <c r="C29" s="391">
        <v>650.05874999999992</v>
      </c>
      <c r="D29" s="635" t="s">
        <v>770</v>
      </c>
      <c r="E29" s="635">
        <v>1170.45</v>
      </c>
      <c r="F29" s="594" t="s">
        <v>770</v>
      </c>
      <c r="G29" s="695">
        <v>3184.3125</v>
      </c>
      <c r="P29" s="201"/>
    </row>
    <row r="30" spans="1:16" ht="20.05" customHeight="1" thickBot="1">
      <c r="A30" s="463" t="s">
        <v>2229</v>
      </c>
      <c r="B30" s="394" t="s">
        <v>770</v>
      </c>
      <c r="C30" s="394">
        <v>712.10981249999998</v>
      </c>
      <c r="D30" s="638" t="s">
        <v>770</v>
      </c>
      <c r="E30" s="638">
        <v>1283.5</v>
      </c>
      <c r="F30" s="597" t="s">
        <v>770</v>
      </c>
      <c r="G30" s="696">
        <v>3472.25</v>
      </c>
      <c r="P30" s="201"/>
    </row>
    <row r="31" spans="1:16" ht="25" customHeight="1">
      <c r="A31" s="464" t="s">
        <v>2305</v>
      </c>
      <c r="B31" s="444" t="s">
        <v>770</v>
      </c>
      <c r="C31" s="444">
        <v>104.1417</v>
      </c>
      <c r="D31" s="634" t="s">
        <v>770</v>
      </c>
      <c r="E31" s="634">
        <v>208.2834</v>
      </c>
      <c r="F31" s="689" t="s">
        <v>770</v>
      </c>
      <c r="G31" s="690">
        <v>317.85858000000007</v>
      </c>
      <c r="K31" s="201"/>
      <c r="L31" s="201"/>
      <c r="M31" s="201"/>
      <c r="N31" s="201"/>
      <c r="O31" s="201"/>
    </row>
    <row r="32" spans="1:16" ht="25" customHeight="1">
      <c r="A32" s="462" t="s">
        <v>2243</v>
      </c>
      <c r="B32" s="389" t="s">
        <v>770</v>
      </c>
      <c r="C32" s="391">
        <v>128.82713999999999</v>
      </c>
      <c r="D32" s="635" t="s">
        <v>770</v>
      </c>
      <c r="E32" s="635">
        <v>257.65427999999997</v>
      </c>
      <c r="F32" s="691" t="s">
        <v>770</v>
      </c>
      <c r="G32" s="695">
        <v>393.20283599999993</v>
      </c>
      <c r="K32" s="201"/>
      <c r="L32" s="201"/>
      <c r="M32" s="201"/>
      <c r="N32" s="201"/>
      <c r="O32" s="201"/>
    </row>
    <row r="33" spans="1:17" ht="25" customHeight="1">
      <c r="A33" s="462" t="s">
        <v>2244</v>
      </c>
      <c r="B33" s="389" t="s">
        <v>770</v>
      </c>
      <c r="C33" s="391">
        <v>154.28399999999999</v>
      </c>
      <c r="D33" s="635" t="s">
        <v>770</v>
      </c>
      <c r="E33" s="635">
        <v>308.56799999999998</v>
      </c>
      <c r="F33" s="691" t="s">
        <v>770</v>
      </c>
      <c r="G33" s="695">
        <v>470.90160000000003</v>
      </c>
      <c r="K33" s="201"/>
      <c r="L33" s="201"/>
      <c r="M33" s="201"/>
      <c r="N33" s="201"/>
      <c r="O33" s="201"/>
    </row>
    <row r="34" spans="1:17" ht="25" customHeight="1" thickBot="1">
      <c r="A34" s="765" t="s">
        <v>2245</v>
      </c>
      <c r="B34" s="408" t="s">
        <v>770</v>
      </c>
      <c r="C34" s="446">
        <v>180.89798999999999</v>
      </c>
      <c r="D34" s="639" t="s">
        <v>770</v>
      </c>
      <c r="E34" s="639">
        <v>361.79597999999999</v>
      </c>
      <c r="F34" s="697" t="s">
        <v>770</v>
      </c>
      <c r="G34" s="698">
        <v>552.13212599999997</v>
      </c>
      <c r="K34" s="201"/>
      <c r="L34" s="201"/>
      <c r="M34" s="201"/>
      <c r="N34" s="201"/>
      <c r="O34" s="201"/>
    </row>
    <row r="35" spans="1:17" ht="20.05" customHeight="1">
      <c r="A35" s="464" t="s">
        <v>2211</v>
      </c>
      <c r="B35" s="444" t="s">
        <v>770</v>
      </c>
      <c r="C35" s="444">
        <v>104.1417</v>
      </c>
      <c r="D35" s="634" t="s">
        <v>770</v>
      </c>
      <c r="E35" s="634">
        <v>208.2834</v>
      </c>
      <c r="F35" s="689" t="s">
        <v>770</v>
      </c>
      <c r="G35" s="690">
        <v>317.85858000000007</v>
      </c>
      <c r="J35" s="201"/>
      <c r="K35" s="201"/>
      <c r="L35" s="201"/>
      <c r="M35" s="201"/>
      <c r="N35" s="201"/>
      <c r="O35" s="201"/>
    </row>
    <row r="36" spans="1:17" ht="20.05" customHeight="1">
      <c r="A36" s="462" t="s">
        <v>2212</v>
      </c>
      <c r="B36" s="391" t="s">
        <v>770</v>
      </c>
      <c r="C36" s="391">
        <v>117.64155</v>
      </c>
      <c r="D36" s="637" t="s">
        <v>770</v>
      </c>
      <c r="E36" s="637">
        <v>235.28309999999999</v>
      </c>
      <c r="F36" s="594" t="s">
        <v>770</v>
      </c>
      <c r="G36" s="595">
        <v>359.06247000000002</v>
      </c>
      <c r="J36" s="201"/>
      <c r="K36" s="201"/>
      <c r="L36" s="201"/>
      <c r="M36" s="201"/>
      <c r="N36" s="201"/>
      <c r="O36" s="201"/>
    </row>
    <row r="37" spans="1:17" ht="20.05" customHeight="1">
      <c r="A37" s="462" t="s">
        <v>2213</v>
      </c>
      <c r="B37" s="391" t="s">
        <v>770</v>
      </c>
      <c r="C37" s="391">
        <v>128.82713999999999</v>
      </c>
      <c r="D37" s="637" t="s">
        <v>770</v>
      </c>
      <c r="E37" s="637">
        <v>257.65427999999997</v>
      </c>
      <c r="F37" s="594" t="s">
        <v>770</v>
      </c>
      <c r="G37" s="595">
        <v>393.20283599999993</v>
      </c>
      <c r="J37" s="201"/>
      <c r="K37" s="201"/>
      <c r="L37" s="201"/>
      <c r="M37" s="201"/>
      <c r="N37" s="201"/>
      <c r="O37" s="201"/>
    </row>
    <row r="38" spans="1:17" ht="20.05" customHeight="1">
      <c r="A38" s="462" t="s">
        <v>2214</v>
      </c>
      <c r="B38" s="391" t="s">
        <v>770</v>
      </c>
      <c r="C38" s="391">
        <v>154.28399999999999</v>
      </c>
      <c r="D38" s="637" t="s">
        <v>770</v>
      </c>
      <c r="E38" s="637">
        <v>308.56799999999998</v>
      </c>
      <c r="F38" s="594" t="s">
        <v>770</v>
      </c>
      <c r="G38" s="595">
        <v>470.90160000000003</v>
      </c>
      <c r="J38" s="201"/>
      <c r="K38" s="201"/>
      <c r="L38" s="201"/>
      <c r="M38" s="201"/>
      <c r="N38" s="201"/>
      <c r="O38" s="201"/>
    </row>
    <row r="39" spans="1:17" ht="20.05" customHeight="1">
      <c r="A39" s="462" t="s">
        <v>2215</v>
      </c>
      <c r="B39" s="391" t="s">
        <v>770</v>
      </c>
      <c r="C39" s="391">
        <v>180.89798999999999</v>
      </c>
      <c r="D39" s="637" t="s">
        <v>770</v>
      </c>
      <c r="E39" s="637">
        <v>361.79597999999999</v>
      </c>
      <c r="F39" s="594" t="s">
        <v>770</v>
      </c>
      <c r="G39" s="595">
        <v>552.13212599999997</v>
      </c>
      <c r="J39" s="201"/>
      <c r="K39" s="201"/>
      <c r="L39" s="201"/>
      <c r="M39" s="201"/>
      <c r="N39" s="201"/>
      <c r="O39" s="201"/>
    </row>
    <row r="40" spans="1:17" ht="20.05" customHeight="1" thickBot="1">
      <c r="A40" s="463" t="s">
        <v>2216</v>
      </c>
      <c r="B40" s="394" t="s">
        <v>770</v>
      </c>
      <c r="C40" s="394">
        <v>206.35485</v>
      </c>
      <c r="D40" s="636" t="s">
        <v>770</v>
      </c>
      <c r="E40" s="636">
        <v>412.7097</v>
      </c>
      <c r="F40" s="597" t="s">
        <v>770</v>
      </c>
      <c r="G40" s="598">
        <v>629.83089000000007</v>
      </c>
      <c r="J40" s="201"/>
      <c r="K40" s="201"/>
      <c r="L40" s="201"/>
      <c r="M40" s="201"/>
      <c r="N40" s="201"/>
      <c r="O40" s="201"/>
    </row>
    <row r="41" spans="1:17" ht="20.05" customHeight="1">
      <c r="A41" s="764" t="s">
        <v>3312</v>
      </c>
      <c r="B41" s="389">
        <v>21.477600000000002</v>
      </c>
      <c r="C41" s="389">
        <v>28.636800000000001</v>
      </c>
      <c r="D41" s="639">
        <v>33.558750000000003</v>
      </c>
      <c r="E41" s="635">
        <v>44.745000000000005</v>
      </c>
      <c r="F41" s="697">
        <v>55.931249999999999</v>
      </c>
      <c r="G41" s="695">
        <v>74.575000000000003</v>
      </c>
      <c r="J41" s="201"/>
      <c r="K41" s="201"/>
      <c r="Q41" s="772"/>
    </row>
    <row r="42" spans="1:17" ht="20.05" customHeight="1">
      <c r="A42" s="764" t="s">
        <v>3313</v>
      </c>
      <c r="B42" s="389">
        <v>25.773119999999999</v>
      </c>
      <c r="C42" s="389">
        <v>34.364159999999998</v>
      </c>
      <c r="D42" s="640">
        <v>40.270499999999998</v>
      </c>
      <c r="E42" s="635">
        <v>53.694000000000003</v>
      </c>
      <c r="F42" s="699">
        <v>67.117499999999993</v>
      </c>
      <c r="G42" s="695">
        <v>89.49</v>
      </c>
      <c r="J42" s="201"/>
      <c r="K42" s="201"/>
      <c r="Q42" s="772"/>
    </row>
    <row r="43" spans="1:17" ht="20.05" customHeight="1">
      <c r="A43" s="764" t="s">
        <v>3314</v>
      </c>
      <c r="B43" s="389">
        <v>42.955200000000005</v>
      </c>
      <c r="C43" s="389">
        <v>57.273600000000002</v>
      </c>
      <c r="D43" s="637">
        <v>67.117500000000007</v>
      </c>
      <c r="E43" s="635">
        <v>89.490000000000009</v>
      </c>
      <c r="F43" s="594">
        <v>111.8625</v>
      </c>
      <c r="G43" s="695">
        <v>149.15</v>
      </c>
      <c r="J43" s="201"/>
      <c r="K43" s="201"/>
      <c r="Q43" s="772"/>
    </row>
    <row r="44" spans="1:17" ht="20.05" customHeight="1">
      <c r="A44" s="764" t="s">
        <v>3315</v>
      </c>
      <c r="B44" s="389">
        <v>53.694000000000003</v>
      </c>
      <c r="C44" s="389">
        <v>71.591999999999999</v>
      </c>
      <c r="D44" s="637">
        <v>83.896874999999994</v>
      </c>
      <c r="E44" s="635">
        <v>111.8625</v>
      </c>
      <c r="F44" s="691">
        <v>139.828125</v>
      </c>
      <c r="G44" s="695">
        <v>186.4375</v>
      </c>
      <c r="J44" s="201"/>
      <c r="K44" s="201"/>
      <c r="Q44" s="772"/>
    </row>
    <row r="45" spans="1:17" ht="20.05" customHeight="1">
      <c r="A45" s="764" t="s">
        <v>3316</v>
      </c>
      <c r="B45" s="389">
        <v>64.4328</v>
      </c>
      <c r="C45" s="389">
        <v>85.91040000000001</v>
      </c>
      <c r="D45" s="635">
        <v>100.67625</v>
      </c>
      <c r="E45" s="635">
        <v>134.23500000000001</v>
      </c>
      <c r="F45" s="691">
        <v>167.79374999999999</v>
      </c>
      <c r="G45" s="695">
        <v>223.72499999999999</v>
      </c>
      <c r="J45" s="201"/>
      <c r="K45" s="201"/>
      <c r="Q45" s="772"/>
    </row>
    <row r="46" spans="1:17" ht="20.05" customHeight="1">
      <c r="A46" s="462" t="s">
        <v>3317</v>
      </c>
      <c r="B46" s="389">
        <v>85.91040000000001</v>
      </c>
      <c r="C46" s="389">
        <v>114.5472</v>
      </c>
      <c r="D46" s="635">
        <v>134.23500000000001</v>
      </c>
      <c r="E46" s="635">
        <v>178.98000000000002</v>
      </c>
      <c r="F46" s="594">
        <v>223.72499999999999</v>
      </c>
      <c r="G46" s="695">
        <v>298.3</v>
      </c>
      <c r="J46" s="201"/>
      <c r="K46" s="201"/>
      <c r="Q46" s="772"/>
    </row>
    <row r="47" spans="1:17" ht="20.05" customHeight="1">
      <c r="A47" s="764" t="s">
        <v>3318</v>
      </c>
      <c r="B47" s="389">
        <v>107.38800000000001</v>
      </c>
      <c r="C47" s="389">
        <v>143.184</v>
      </c>
      <c r="D47" s="635">
        <v>167.79374999999999</v>
      </c>
      <c r="E47" s="635">
        <v>223.72499999999999</v>
      </c>
      <c r="F47" s="691">
        <v>279.65625</v>
      </c>
      <c r="G47" s="695">
        <v>372.875</v>
      </c>
      <c r="J47" s="201"/>
      <c r="K47" s="201"/>
      <c r="Q47" s="772"/>
    </row>
    <row r="48" spans="1:17" ht="20.05" customHeight="1">
      <c r="A48" s="462" t="s">
        <v>3319</v>
      </c>
      <c r="B48" s="389">
        <v>128.8656</v>
      </c>
      <c r="C48" s="389">
        <v>171.82080000000002</v>
      </c>
      <c r="D48" s="635">
        <v>201.35249999999999</v>
      </c>
      <c r="E48" s="635">
        <v>268.47000000000003</v>
      </c>
      <c r="F48" s="594">
        <v>335.58749999999998</v>
      </c>
      <c r="G48" s="695">
        <v>447.45</v>
      </c>
      <c r="J48" s="201"/>
      <c r="K48" s="201"/>
      <c r="Q48" s="772"/>
    </row>
    <row r="49" spans="1:17" ht="20.05" customHeight="1">
      <c r="A49" s="462" t="s">
        <v>3320</v>
      </c>
      <c r="B49" s="389">
        <v>150.34320000000002</v>
      </c>
      <c r="C49" s="389">
        <v>200.45759999999999</v>
      </c>
      <c r="D49" s="635">
        <v>234.91125000000002</v>
      </c>
      <c r="E49" s="635">
        <v>313.21499999999997</v>
      </c>
      <c r="F49" s="594">
        <v>391.51875000000001</v>
      </c>
      <c r="G49" s="695">
        <v>522.02499999999998</v>
      </c>
      <c r="J49" s="201"/>
      <c r="K49" s="201"/>
      <c r="Q49" s="772"/>
    </row>
    <row r="50" spans="1:17" ht="20.05" customHeight="1">
      <c r="A50" s="462" t="s">
        <v>3321</v>
      </c>
      <c r="B50" s="389">
        <v>171.82080000000002</v>
      </c>
      <c r="C50" s="389">
        <v>229.09440000000001</v>
      </c>
      <c r="D50" s="635">
        <v>268.47000000000003</v>
      </c>
      <c r="E50" s="635">
        <v>357.96000000000004</v>
      </c>
      <c r="F50" s="594">
        <v>447.45</v>
      </c>
      <c r="G50" s="695">
        <v>596.6</v>
      </c>
      <c r="J50" s="201"/>
      <c r="K50" s="201"/>
      <c r="Q50" s="772"/>
    </row>
    <row r="51" spans="1:17" ht="20.05" customHeight="1">
      <c r="A51" s="462" t="s">
        <v>3322</v>
      </c>
      <c r="B51" s="389">
        <v>193.29840000000002</v>
      </c>
      <c r="C51" s="389">
        <v>257.7312</v>
      </c>
      <c r="D51" s="635">
        <v>302.02875</v>
      </c>
      <c r="E51" s="635">
        <v>402.70499999999998</v>
      </c>
      <c r="F51" s="594">
        <v>503.38125000000002</v>
      </c>
      <c r="G51" s="695">
        <v>671.17499999999995</v>
      </c>
      <c r="J51" s="201"/>
      <c r="K51" s="201"/>
      <c r="Q51" s="772"/>
    </row>
    <row r="52" spans="1:17" ht="20.05" customHeight="1">
      <c r="A52" s="462" t="s">
        <v>3323</v>
      </c>
      <c r="B52" s="389">
        <v>214.77600000000001</v>
      </c>
      <c r="C52" s="389">
        <v>286.36799999999999</v>
      </c>
      <c r="D52" s="635">
        <v>335.58749999999998</v>
      </c>
      <c r="E52" s="635">
        <v>447.45</v>
      </c>
      <c r="F52" s="594">
        <v>559.3125</v>
      </c>
      <c r="G52" s="695">
        <v>745.75</v>
      </c>
      <c r="J52" s="201"/>
      <c r="K52" s="201"/>
      <c r="Q52" s="772"/>
    </row>
    <row r="53" spans="1:17" ht="20.05" customHeight="1">
      <c r="A53" s="462" t="s">
        <v>3324</v>
      </c>
      <c r="B53" s="389">
        <v>257.7312</v>
      </c>
      <c r="C53" s="389">
        <v>343.64160000000004</v>
      </c>
      <c r="D53" s="635">
        <v>402.70499999999998</v>
      </c>
      <c r="E53" s="635">
        <v>536.94000000000005</v>
      </c>
      <c r="F53" s="594">
        <v>671.17499999999995</v>
      </c>
      <c r="G53" s="695">
        <v>894.9</v>
      </c>
      <c r="J53" s="201"/>
      <c r="K53" s="201"/>
      <c r="Q53" s="772"/>
    </row>
    <row r="54" spans="1:17" ht="20.05" customHeight="1">
      <c r="A54" s="462" t="s">
        <v>3325</v>
      </c>
      <c r="B54" s="389">
        <v>300.68640000000005</v>
      </c>
      <c r="C54" s="389">
        <v>400.91519999999997</v>
      </c>
      <c r="D54" s="635">
        <v>469.82250000000005</v>
      </c>
      <c r="E54" s="635">
        <v>626.42999999999995</v>
      </c>
      <c r="F54" s="594">
        <v>783.03750000000002</v>
      </c>
      <c r="G54" s="695">
        <v>1044.05</v>
      </c>
      <c r="J54" s="201"/>
      <c r="K54" s="201"/>
      <c r="Q54" s="772"/>
    </row>
    <row r="55" spans="1:17" ht="20.05" customHeight="1">
      <c r="A55" s="462" t="s">
        <v>3326</v>
      </c>
      <c r="B55" s="389">
        <v>322.16399999999999</v>
      </c>
      <c r="C55" s="389">
        <v>429.55200000000002</v>
      </c>
      <c r="D55" s="635">
        <v>503.38125000000002</v>
      </c>
      <c r="E55" s="635">
        <v>671.17499999999995</v>
      </c>
      <c r="F55" s="594">
        <v>838.96875</v>
      </c>
      <c r="G55" s="695">
        <v>1118.625</v>
      </c>
      <c r="J55" s="201"/>
      <c r="K55" s="201"/>
      <c r="Q55" s="772"/>
    </row>
    <row r="56" spans="1:17" ht="20.05" customHeight="1">
      <c r="A56" s="766" t="s">
        <v>3327</v>
      </c>
      <c r="B56" s="391">
        <v>343.64160000000004</v>
      </c>
      <c r="C56" s="391">
        <v>458.18880000000001</v>
      </c>
      <c r="D56" s="637">
        <v>536.94000000000005</v>
      </c>
      <c r="E56" s="637">
        <v>715.92000000000007</v>
      </c>
      <c r="F56" s="594">
        <v>894.9</v>
      </c>
      <c r="G56" s="594">
        <v>1193.2</v>
      </c>
      <c r="J56" s="201"/>
      <c r="K56" s="201"/>
      <c r="Q56" s="772"/>
    </row>
    <row r="57" spans="1:17" ht="20.05" customHeight="1">
      <c r="A57" s="465" t="s">
        <v>3328</v>
      </c>
      <c r="B57" s="391">
        <v>386.59680000000003</v>
      </c>
      <c r="C57" s="391">
        <v>515.4624</v>
      </c>
      <c r="D57" s="637">
        <v>604.0575</v>
      </c>
      <c r="E57" s="637">
        <v>805.41</v>
      </c>
      <c r="F57" s="594">
        <v>1006.7625</v>
      </c>
      <c r="G57" s="594">
        <v>1342.35</v>
      </c>
      <c r="J57" s="201"/>
      <c r="K57" s="201"/>
      <c r="Q57" s="772"/>
    </row>
    <row r="58" spans="1:17" ht="20.05" customHeight="1">
      <c r="A58" s="465" t="s">
        <v>3329</v>
      </c>
      <c r="B58" s="391">
        <v>429.55200000000002</v>
      </c>
      <c r="C58" s="391">
        <v>572.73599999999999</v>
      </c>
      <c r="D58" s="637">
        <v>671.17499999999995</v>
      </c>
      <c r="E58" s="637">
        <v>894.9</v>
      </c>
      <c r="F58" s="594">
        <v>1118.625</v>
      </c>
      <c r="G58" s="594">
        <v>1491.5</v>
      </c>
      <c r="J58" s="201"/>
      <c r="K58" s="201"/>
      <c r="Q58" s="772"/>
    </row>
    <row r="59" spans="1:17" ht="20.05" customHeight="1">
      <c r="A59" s="465" t="s">
        <v>3330</v>
      </c>
      <c r="B59" s="391">
        <v>472.50720000000001</v>
      </c>
      <c r="C59" s="391">
        <v>630.00959999999998</v>
      </c>
      <c r="D59" s="637">
        <v>738.29250000000002</v>
      </c>
      <c r="E59" s="637">
        <v>984.39</v>
      </c>
      <c r="F59" s="594">
        <v>1230.4875</v>
      </c>
      <c r="G59" s="594">
        <v>1640.6499999999999</v>
      </c>
      <c r="J59" s="201"/>
      <c r="K59" s="201"/>
      <c r="Q59" s="772"/>
    </row>
    <row r="60" spans="1:17" ht="20.05" customHeight="1">
      <c r="A60" s="465" t="s">
        <v>3331</v>
      </c>
      <c r="B60" s="391">
        <v>515.4624</v>
      </c>
      <c r="C60" s="391">
        <v>687.28320000000008</v>
      </c>
      <c r="D60" s="637">
        <v>805.41</v>
      </c>
      <c r="E60" s="637">
        <v>1073.8800000000001</v>
      </c>
      <c r="F60" s="594">
        <v>1342.35</v>
      </c>
      <c r="G60" s="594">
        <v>1789.8</v>
      </c>
      <c r="J60" s="201"/>
      <c r="K60" s="201"/>
      <c r="Q60" s="772"/>
    </row>
    <row r="61" spans="1:17" ht="20.05" customHeight="1">
      <c r="A61" s="465" t="s">
        <v>3332</v>
      </c>
      <c r="B61" s="391">
        <v>536.93999999999994</v>
      </c>
      <c r="C61" s="391">
        <v>715.92</v>
      </c>
      <c r="D61" s="637">
        <v>838.96875</v>
      </c>
      <c r="E61" s="637">
        <v>1118.625</v>
      </c>
      <c r="F61" s="594">
        <v>1398.28125</v>
      </c>
      <c r="G61" s="594">
        <v>1864.375</v>
      </c>
      <c r="J61" s="201"/>
      <c r="K61" s="201"/>
      <c r="Q61" s="772"/>
    </row>
    <row r="62" spans="1:17" ht="20.05" customHeight="1">
      <c r="A62" s="465" t="s">
        <v>3333</v>
      </c>
      <c r="B62" s="391">
        <v>558.41759999999999</v>
      </c>
      <c r="C62" s="391">
        <v>744.55679999999995</v>
      </c>
      <c r="D62" s="637">
        <v>872.52749999999992</v>
      </c>
      <c r="E62" s="637">
        <v>1163.3699999999999</v>
      </c>
      <c r="F62" s="594">
        <v>1454.2124999999999</v>
      </c>
      <c r="G62" s="594">
        <v>1938.95</v>
      </c>
      <c r="J62" s="201"/>
      <c r="K62" s="201"/>
      <c r="Q62" s="772"/>
    </row>
    <row r="63" spans="1:17" ht="20.05" customHeight="1">
      <c r="A63" s="465" t="s">
        <v>3334</v>
      </c>
      <c r="B63" s="391">
        <v>601.3728000000001</v>
      </c>
      <c r="C63" s="391">
        <v>801.83039999999994</v>
      </c>
      <c r="D63" s="637">
        <v>939.6450000000001</v>
      </c>
      <c r="E63" s="637">
        <v>1252.8599999999999</v>
      </c>
      <c r="F63" s="594">
        <v>1566.075</v>
      </c>
      <c r="G63" s="594">
        <v>2088.1</v>
      </c>
      <c r="J63" s="201"/>
      <c r="K63" s="201"/>
      <c r="Q63" s="772"/>
    </row>
    <row r="64" spans="1:17" ht="20.05" customHeight="1" thickBot="1">
      <c r="A64" s="466" t="s">
        <v>3335</v>
      </c>
      <c r="B64" s="446">
        <v>644.32799999999997</v>
      </c>
      <c r="C64" s="446">
        <v>859.10400000000004</v>
      </c>
      <c r="D64" s="640">
        <v>1006.7625</v>
      </c>
      <c r="E64" s="640">
        <v>1342.35</v>
      </c>
      <c r="F64" s="699">
        <v>1677.9375</v>
      </c>
      <c r="G64" s="699">
        <v>2237.25</v>
      </c>
      <c r="J64" s="201"/>
      <c r="K64" s="201"/>
      <c r="Q64" s="772"/>
    </row>
    <row r="65" spans="1:18" ht="16.3">
      <c r="A65" s="773" t="s">
        <v>3336</v>
      </c>
      <c r="B65" s="444">
        <v>204.48749999999995</v>
      </c>
      <c r="C65" s="444">
        <v>242.01398437500001</v>
      </c>
      <c r="D65" s="634">
        <v>265.83375000000001</v>
      </c>
      <c r="E65" s="634">
        <v>314.61817968750006</v>
      </c>
      <c r="F65" s="690">
        <v>1022.4374999999999</v>
      </c>
      <c r="G65" s="690">
        <v>1210.0699218750001</v>
      </c>
      <c r="K65" s="201"/>
      <c r="L65" s="201"/>
      <c r="M65" s="201"/>
      <c r="N65" s="201"/>
      <c r="O65" s="201"/>
      <c r="P65" s="201"/>
      <c r="Q65" s="201"/>
      <c r="R65" s="201"/>
    </row>
    <row r="66" spans="1:18" ht="16.3">
      <c r="A66" s="462" t="s">
        <v>3337</v>
      </c>
      <c r="B66" s="391">
        <v>233.34374999999997</v>
      </c>
      <c r="C66" s="391">
        <v>279.84387137812496</v>
      </c>
      <c r="D66" s="637">
        <v>303.34687500000001</v>
      </c>
      <c r="E66" s="637">
        <v>363.79703279156246</v>
      </c>
      <c r="F66" s="594">
        <v>1166.71875</v>
      </c>
      <c r="G66" s="595">
        <v>1399.2193568906248</v>
      </c>
      <c r="K66" s="201"/>
      <c r="L66" s="201"/>
      <c r="M66" s="201"/>
      <c r="N66" s="201"/>
      <c r="O66" s="201"/>
      <c r="P66" s="201"/>
      <c r="Q66" s="201"/>
      <c r="R66" s="201"/>
    </row>
    <row r="67" spans="1:18" ht="16.3">
      <c r="A67" s="462" t="s">
        <v>3338</v>
      </c>
      <c r="B67" s="391">
        <v>262.19999999999993</v>
      </c>
      <c r="C67" s="391">
        <v>315.3973700437499</v>
      </c>
      <c r="D67" s="637">
        <v>340.8599999999999</v>
      </c>
      <c r="E67" s="637">
        <v>410.01658105687488</v>
      </c>
      <c r="F67" s="594">
        <v>1311</v>
      </c>
      <c r="G67" s="595">
        <v>1576.9868502187496</v>
      </c>
      <c r="K67" s="201"/>
      <c r="L67" s="201"/>
      <c r="M67" s="201"/>
      <c r="N67" s="201"/>
      <c r="O67" s="201"/>
      <c r="P67" s="201"/>
      <c r="Q67" s="201"/>
      <c r="R67" s="201"/>
    </row>
    <row r="68" spans="1:18" ht="16.3">
      <c r="A68" s="462" t="s">
        <v>3339</v>
      </c>
      <c r="B68" s="391">
        <v>319.91249999999997</v>
      </c>
      <c r="C68" s="391">
        <v>386.43958669687493</v>
      </c>
      <c r="D68" s="637">
        <v>415.8862499999999</v>
      </c>
      <c r="E68" s="637">
        <v>502.37146270593746</v>
      </c>
      <c r="F68" s="594">
        <v>1599.5624999999998</v>
      </c>
      <c r="G68" s="595">
        <v>1932.1979334843745</v>
      </c>
      <c r="K68" s="201"/>
      <c r="L68" s="201"/>
      <c r="M68" s="201"/>
      <c r="N68" s="201"/>
      <c r="O68" s="201"/>
      <c r="P68" s="201"/>
      <c r="Q68" s="201"/>
      <c r="R68" s="201"/>
    </row>
    <row r="69" spans="1:18" ht="16.3">
      <c r="A69" s="462" t="s">
        <v>3340</v>
      </c>
      <c r="B69" s="391">
        <v>377.62499999999994</v>
      </c>
      <c r="C69" s="391">
        <v>460.75686642187492</v>
      </c>
      <c r="D69" s="637">
        <v>490.91250000000002</v>
      </c>
      <c r="E69" s="637">
        <v>598.98392634843742</v>
      </c>
      <c r="F69" s="594">
        <v>1888.125</v>
      </c>
      <c r="G69" s="595">
        <v>2303.7843321093742</v>
      </c>
      <c r="K69" s="201"/>
      <c r="L69" s="201"/>
      <c r="M69" s="201"/>
      <c r="N69" s="201"/>
      <c r="O69" s="201"/>
      <c r="P69" s="201"/>
      <c r="Q69" s="201"/>
      <c r="R69" s="201"/>
    </row>
    <row r="70" spans="1:18" ht="16.3">
      <c r="A70" s="462" t="s">
        <v>3341</v>
      </c>
      <c r="B70" s="391">
        <v>428.12343749999997</v>
      </c>
      <c r="C70" s="391">
        <v>539.14673932499988</v>
      </c>
      <c r="D70" s="637">
        <v>556.56046875000004</v>
      </c>
      <c r="E70" s="637">
        <v>700.89076112249984</v>
      </c>
      <c r="F70" s="594">
        <v>2140.6171875</v>
      </c>
      <c r="G70" s="595">
        <v>2695.7336966249995</v>
      </c>
      <c r="K70" s="201"/>
      <c r="L70" s="201"/>
      <c r="M70" s="201"/>
      <c r="N70" s="201"/>
      <c r="O70" s="201"/>
      <c r="P70" s="201"/>
      <c r="Q70" s="201"/>
      <c r="R70" s="201"/>
    </row>
    <row r="71" spans="1:18" ht="16.3">
      <c r="A71" s="462" t="s">
        <v>3342</v>
      </c>
      <c r="B71" s="391">
        <v>514.69218750000005</v>
      </c>
      <c r="C71" s="391">
        <v>622.55717463281246</v>
      </c>
      <c r="D71" s="637">
        <v>669.0998437500001</v>
      </c>
      <c r="E71" s="637">
        <v>809.32432702265612</v>
      </c>
      <c r="F71" s="594">
        <v>2573.4609375</v>
      </c>
      <c r="G71" s="595">
        <v>3112.7858731640622</v>
      </c>
      <c r="K71" s="201"/>
      <c r="L71" s="201"/>
      <c r="M71" s="201"/>
      <c r="N71" s="201"/>
      <c r="O71" s="201"/>
      <c r="P71" s="201"/>
      <c r="Q71" s="201"/>
      <c r="R71" s="201"/>
    </row>
    <row r="72" spans="1:18" ht="16.3">
      <c r="A72" s="462" t="s">
        <v>3343</v>
      </c>
      <c r="B72" s="391">
        <v>544.99125000000004</v>
      </c>
      <c r="C72" s="391">
        <v>652.81011041718739</v>
      </c>
      <c r="D72" s="637">
        <v>708.48862500000007</v>
      </c>
      <c r="E72" s="637">
        <v>848.65314354234374</v>
      </c>
      <c r="F72" s="594">
        <v>2724.9562500000002</v>
      </c>
      <c r="G72" s="595">
        <v>3264.0505520859369</v>
      </c>
      <c r="K72" s="201"/>
      <c r="L72" s="201"/>
      <c r="M72" s="201"/>
      <c r="N72" s="201"/>
      <c r="O72" s="201"/>
      <c r="P72" s="201"/>
      <c r="Q72" s="201"/>
      <c r="R72" s="201"/>
    </row>
    <row r="73" spans="1:18" ht="16.3">
      <c r="A73" s="462" t="s">
        <v>3344</v>
      </c>
      <c r="B73" s="391">
        <v>575.29031250000003</v>
      </c>
      <c r="C73" s="391">
        <v>697.02560927343734</v>
      </c>
      <c r="D73" s="637">
        <v>747.87740624999992</v>
      </c>
      <c r="E73" s="637">
        <v>906.13329205546859</v>
      </c>
      <c r="F73" s="594">
        <v>2876.4515625000004</v>
      </c>
      <c r="G73" s="595">
        <v>3485.1280463671874</v>
      </c>
      <c r="K73" s="201"/>
      <c r="L73" s="201"/>
      <c r="M73" s="201"/>
      <c r="N73" s="201"/>
      <c r="O73" s="201"/>
      <c r="P73" s="201"/>
      <c r="Q73" s="201"/>
      <c r="R73" s="201"/>
    </row>
    <row r="74" spans="1:18" ht="16.3">
      <c r="A74" s="462" t="s">
        <v>3345</v>
      </c>
      <c r="B74" s="391">
        <v>637.33124999999995</v>
      </c>
      <c r="C74" s="391">
        <v>755.00062500000013</v>
      </c>
      <c r="D74" s="637">
        <v>828.5306250000001</v>
      </c>
      <c r="E74" s="637">
        <v>981.50081250000028</v>
      </c>
      <c r="F74" s="594">
        <v>3186.65625</v>
      </c>
      <c r="G74" s="595">
        <v>3775.0031250000002</v>
      </c>
      <c r="K74" s="201"/>
      <c r="L74" s="201"/>
      <c r="M74" s="201"/>
      <c r="N74" s="201"/>
      <c r="O74" s="201"/>
      <c r="P74" s="201"/>
      <c r="Q74" s="201"/>
      <c r="R74" s="201"/>
    </row>
    <row r="75" spans="1:18" ht="16.3">
      <c r="A75" s="462" t="s">
        <v>3346</v>
      </c>
      <c r="B75" s="391">
        <v>696.48656249999999</v>
      </c>
      <c r="C75" s="391">
        <v>832.20111328124983</v>
      </c>
      <c r="D75" s="637">
        <v>905.43253125000024</v>
      </c>
      <c r="E75" s="637">
        <v>1081.8614472656247</v>
      </c>
      <c r="F75" s="594">
        <v>3482.4328125000002</v>
      </c>
      <c r="G75" s="595">
        <v>4161.0055664062493</v>
      </c>
      <c r="K75" s="201"/>
      <c r="L75" s="201"/>
      <c r="M75" s="201"/>
      <c r="N75" s="201"/>
      <c r="O75" s="201"/>
      <c r="P75" s="201"/>
      <c r="Q75" s="201"/>
      <c r="R75" s="201"/>
    </row>
    <row r="76" spans="1:18" ht="16.3">
      <c r="A76" s="462" t="s">
        <v>3347</v>
      </c>
      <c r="B76" s="391">
        <v>758.52750000000003</v>
      </c>
      <c r="C76" s="391">
        <v>901.07737499999985</v>
      </c>
      <c r="D76" s="637">
        <v>986.08575000000019</v>
      </c>
      <c r="E76" s="637">
        <v>1171.4005874999998</v>
      </c>
      <c r="F76" s="594">
        <v>3792.6375000000003</v>
      </c>
      <c r="G76" s="595">
        <v>4505.3868749999992</v>
      </c>
      <c r="K76" s="201"/>
      <c r="L76" s="201"/>
      <c r="M76" s="201"/>
      <c r="N76" s="201"/>
      <c r="O76" s="201"/>
      <c r="P76" s="201"/>
      <c r="Q76" s="201"/>
      <c r="R76" s="201"/>
    </row>
    <row r="77" spans="1:18" ht="16.3">
      <c r="A77" s="462" t="s">
        <v>3348</v>
      </c>
      <c r="B77" s="391">
        <v>819.1256249999999</v>
      </c>
      <c r="C77" s="391">
        <v>974.85418945312517</v>
      </c>
      <c r="D77" s="637">
        <v>1064.8633124999999</v>
      </c>
      <c r="E77" s="637">
        <v>1267.3104462890626</v>
      </c>
      <c r="F77" s="594">
        <v>4095.6281250000002</v>
      </c>
      <c r="G77" s="595">
        <v>4874.2709472656261</v>
      </c>
      <c r="K77" s="201"/>
      <c r="L77" s="201"/>
      <c r="M77" s="201"/>
      <c r="N77" s="201"/>
      <c r="O77" s="201"/>
      <c r="P77" s="201"/>
      <c r="Q77" s="201"/>
      <c r="R77" s="201"/>
    </row>
    <row r="78" spans="1:18" ht="16.3">
      <c r="A78" s="462" t="s">
        <v>3349</v>
      </c>
      <c r="B78" s="391">
        <v>849.4246875</v>
      </c>
      <c r="C78" s="391">
        <v>1018.489248046875</v>
      </c>
      <c r="D78" s="637">
        <v>1104.2520937500001</v>
      </c>
      <c r="E78" s="637">
        <v>1324.0360224609376</v>
      </c>
      <c r="F78" s="594">
        <v>4247.1234374999995</v>
      </c>
      <c r="G78" s="595">
        <v>5092.4462402343752</v>
      </c>
      <c r="K78" s="201"/>
      <c r="L78" s="201"/>
      <c r="M78" s="201"/>
      <c r="N78" s="201"/>
      <c r="O78" s="201"/>
      <c r="P78" s="201"/>
      <c r="Q78" s="201"/>
      <c r="R78" s="201"/>
    </row>
    <row r="79" spans="1:18" ht="16.3">
      <c r="A79" s="462" t="s">
        <v>3350</v>
      </c>
      <c r="B79" s="391">
        <v>879.72374999999988</v>
      </c>
      <c r="C79" s="391">
        <v>1054.26999609375</v>
      </c>
      <c r="D79" s="637">
        <v>1143.6408750000001</v>
      </c>
      <c r="E79" s="637">
        <v>1370.5509949218751</v>
      </c>
      <c r="F79" s="594">
        <v>4398.6187499999996</v>
      </c>
      <c r="G79" s="595">
        <v>5271.3499804687499</v>
      </c>
      <c r="K79" s="201"/>
      <c r="L79" s="201"/>
      <c r="M79" s="201"/>
      <c r="N79" s="201"/>
      <c r="O79" s="201"/>
      <c r="P79" s="201"/>
      <c r="Q79" s="201"/>
      <c r="R79" s="201"/>
    </row>
    <row r="80" spans="1:18" ht="16.3">
      <c r="A80" s="462" t="s">
        <v>3351</v>
      </c>
      <c r="B80" s="391">
        <v>940.32187500000009</v>
      </c>
      <c r="C80" s="391">
        <v>1139.7947109374998</v>
      </c>
      <c r="D80" s="637">
        <v>1222.4184375000002</v>
      </c>
      <c r="E80" s="637">
        <v>1481.7331242187497</v>
      </c>
      <c r="F80" s="594">
        <v>4701.6093750000009</v>
      </c>
      <c r="G80" s="595">
        <v>5698.9735546874999</v>
      </c>
      <c r="K80" s="201"/>
      <c r="L80" s="201"/>
      <c r="M80" s="201"/>
      <c r="N80" s="201"/>
      <c r="O80" s="201"/>
      <c r="P80" s="201"/>
      <c r="Q80" s="201"/>
      <c r="R80" s="201"/>
    </row>
    <row r="81" spans="1:18" ht="17" thickBot="1">
      <c r="A81" s="463" t="s">
        <v>3352</v>
      </c>
      <c r="B81" s="394">
        <v>1000.9200000000001</v>
      </c>
      <c r="C81" s="394">
        <v>1201.7564941406251</v>
      </c>
      <c r="D81" s="636">
        <v>1301.1960000000001</v>
      </c>
      <c r="E81" s="636">
        <v>1562.2834423828126</v>
      </c>
      <c r="F81" s="597">
        <v>5004.6000000000004</v>
      </c>
      <c r="G81" s="598">
        <v>6008.782470703125</v>
      </c>
      <c r="K81" s="201"/>
      <c r="L81" s="201"/>
      <c r="M81" s="201"/>
      <c r="N81" s="201"/>
      <c r="O81" s="201"/>
      <c r="P81" s="201"/>
      <c r="Q81" s="201"/>
      <c r="R81" s="201"/>
    </row>
    <row r="82" spans="1:18" ht="16.3">
      <c r="A82" s="773" t="s">
        <v>3353</v>
      </c>
      <c r="B82" s="444">
        <v>272.64999999999998</v>
      </c>
      <c r="C82" s="444">
        <v>322.68531250000001</v>
      </c>
      <c r="D82" s="634">
        <v>354.44499999999999</v>
      </c>
      <c r="E82" s="634">
        <v>419.49090625000002</v>
      </c>
      <c r="F82" s="691">
        <v>1363.25</v>
      </c>
      <c r="G82" s="691">
        <v>1613.4265625</v>
      </c>
      <c r="K82" s="201"/>
      <c r="L82" s="201"/>
      <c r="M82" s="201"/>
      <c r="N82" s="201"/>
      <c r="O82" s="201"/>
      <c r="P82" s="201"/>
      <c r="Q82" s="201"/>
      <c r="R82" s="201"/>
    </row>
    <row r="83" spans="1:18" ht="16.3">
      <c r="A83" s="462" t="s">
        <v>3354</v>
      </c>
      <c r="B83" s="391">
        <v>311.125</v>
      </c>
      <c r="C83" s="391">
        <v>373.1251618375</v>
      </c>
      <c r="D83" s="637">
        <v>404.46249999999998</v>
      </c>
      <c r="E83" s="637">
        <v>485.06271038874991</v>
      </c>
      <c r="F83" s="594">
        <v>1555.625</v>
      </c>
      <c r="G83" s="594">
        <v>1865.6258091874997</v>
      </c>
      <c r="K83" s="201"/>
      <c r="L83" s="201"/>
      <c r="M83" s="201"/>
      <c r="N83" s="201"/>
      <c r="O83" s="201"/>
      <c r="P83" s="201"/>
      <c r="Q83" s="201"/>
      <c r="R83" s="201"/>
    </row>
    <row r="84" spans="1:18" ht="16.3">
      <c r="A84" s="462" t="s">
        <v>3355</v>
      </c>
      <c r="B84" s="391">
        <v>349.59999999999991</v>
      </c>
      <c r="C84" s="391">
        <v>420.52982672499985</v>
      </c>
      <c r="D84" s="637">
        <v>454.4799999999999</v>
      </c>
      <c r="E84" s="637">
        <v>546.68877474249985</v>
      </c>
      <c r="F84" s="594">
        <v>1747.9999999999998</v>
      </c>
      <c r="G84" s="595">
        <v>2102.6491336249996</v>
      </c>
      <c r="K84" s="201"/>
      <c r="L84" s="201"/>
      <c r="M84" s="201"/>
      <c r="N84" s="201"/>
      <c r="O84" s="201"/>
      <c r="P84" s="201"/>
      <c r="Q84" s="201"/>
      <c r="R84" s="201"/>
    </row>
    <row r="85" spans="1:18" ht="16.3">
      <c r="A85" s="462" t="s">
        <v>3356</v>
      </c>
      <c r="B85" s="391">
        <v>426.54999999999995</v>
      </c>
      <c r="C85" s="391">
        <v>515.25278226249998</v>
      </c>
      <c r="D85" s="637">
        <v>554.51499999999999</v>
      </c>
      <c r="E85" s="637">
        <v>669.82861694124995</v>
      </c>
      <c r="F85" s="594">
        <v>2132.75</v>
      </c>
      <c r="G85" s="595">
        <v>2576.2639113124992</v>
      </c>
      <c r="K85" s="201"/>
      <c r="L85" s="201"/>
      <c r="M85" s="201"/>
      <c r="N85" s="201"/>
      <c r="O85" s="201"/>
      <c r="P85" s="201"/>
      <c r="Q85" s="201"/>
      <c r="R85" s="201"/>
    </row>
    <row r="86" spans="1:18" ht="16.3">
      <c r="A86" s="462" t="s">
        <v>3357</v>
      </c>
      <c r="B86" s="391">
        <v>503.49999999999994</v>
      </c>
      <c r="C86" s="391">
        <v>614.34248856249985</v>
      </c>
      <c r="D86" s="637">
        <v>654.54999999999995</v>
      </c>
      <c r="E86" s="637">
        <v>798.64523513124993</v>
      </c>
      <c r="F86" s="594">
        <v>2517.5</v>
      </c>
      <c r="G86" s="595">
        <v>3071.7124428124994</v>
      </c>
      <c r="K86" s="201"/>
      <c r="L86" s="201"/>
      <c r="M86" s="201"/>
      <c r="N86" s="201"/>
      <c r="O86" s="201"/>
      <c r="P86" s="201"/>
      <c r="Q86" s="201"/>
      <c r="R86" s="201"/>
    </row>
    <row r="87" spans="1:18" ht="16.3">
      <c r="A87" s="462" t="s">
        <v>3358</v>
      </c>
      <c r="B87" s="391">
        <v>570.83124999999995</v>
      </c>
      <c r="C87" s="391">
        <v>718.86231909999981</v>
      </c>
      <c r="D87" s="637">
        <v>742.08062499999994</v>
      </c>
      <c r="E87" s="637">
        <v>934.52101482999979</v>
      </c>
      <c r="F87" s="594">
        <v>2854.15625</v>
      </c>
      <c r="G87" s="595">
        <v>3594.3115954999994</v>
      </c>
      <c r="K87" s="201"/>
      <c r="L87" s="201"/>
      <c r="M87" s="201"/>
      <c r="N87" s="201"/>
      <c r="O87" s="201"/>
      <c r="P87" s="201"/>
      <c r="Q87" s="201"/>
      <c r="R87" s="201"/>
    </row>
    <row r="88" spans="1:18" ht="16.3">
      <c r="A88" s="462" t="s">
        <v>3359</v>
      </c>
      <c r="B88" s="391">
        <v>686.25625000000014</v>
      </c>
      <c r="C88" s="391">
        <v>830.07623284374984</v>
      </c>
      <c r="D88" s="637">
        <v>892.13312500000006</v>
      </c>
      <c r="E88" s="637">
        <v>1079.099102696875</v>
      </c>
      <c r="F88" s="594">
        <v>3431.28125</v>
      </c>
      <c r="G88" s="595">
        <v>4150.3811642187502</v>
      </c>
      <c r="K88" s="201"/>
      <c r="L88" s="201"/>
      <c r="M88" s="201"/>
      <c r="N88" s="201"/>
      <c r="O88" s="201"/>
      <c r="P88" s="201"/>
      <c r="Q88" s="201"/>
      <c r="R88" s="201"/>
    </row>
    <row r="89" spans="1:18" ht="16.3">
      <c r="A89" s="462" t="s">
        <v>3360</v>
      </c>
      <c r="B89" s="391">
        <v>726.65500000000009</v>
      </c>
      <c r="C89" s="391">
        <v>870.41348055624985</v>
      </c>
      <c r="D89" s="637">
        <v>944.65150000000006</v>
      </c>
      <c r="E89" s="637">
        <v>1131.5375247231248</v>
      </c>
      <c r="F89" s="594">
        <v>3633.2750000000005</v>
      </c>
      <c r="G89" s="595">
        <v>4352.0674027812493</v>
      </c>
      <c r="K89" s="201"/>
      <c r="L89" s="201"/>
      <c r="M89" s="201"/>
      <c r="N89" s="201"/>
      <c r="O89" s="201"/>
      <c r="P89" s="201"/>
      <c r="Q89" s="201"/>
      <c r="R89" s="201"/>
    </row>
    <row r="90" spans="1:18" s="258" customFormat="1" ht="16.3">
      <c r="A90" s="462" t="s">
        <v>3361</v>
      </c>
      <c r="B90" s="391">
        <v>767.05375000000004</v>
      </c>
      <c r="C90" s="391">
        <v>929.36747903124979</v>
      </c>
      <c r="D90" s="637">
        <v>997.16987500000005</v>
      </c>
      <c r="E90" s="637">
        <v>1208.1777227406249</v>
      </c>
      <c r="F90" s="594">
        <v>3835.2687500000002</v>
      </c>
      <c r="G90" s="595">
        <v>4646.8373951562489</v>
      </c>
      <c r="K90" s="201"/>
      <c r="L90" s="201"/>
      <c r="M90" s="201"/>
      <c r="N90" s="201"/>
      <c r="O90" s="201"/>
      <c r="P90" s="201"/>
      <c r="Q90" s="201"/>
      <c r="R90" s="201"/>
    </row>
    <row r="91" spans="1:18" s="258" customFormat="1" ht="16.3">
      <c r="A91" s="462" t="s">
        <v>3362</v>
      </c>
      <c r="B91" s="391">
        <v>849.77499999999986</v>
      </c>
      <c r="C91" s="391">
        <v>1006.6675</v>
      </c>
      <c r="D91" s="637">
        <v>1104.7075</v>
      </c>
      <c r="E91" s="637">
        <v>1308.6677500000001</v>
      </c>
      <c r="F91" s="594">
        <v>4248.875</v>
      </c>
      <c r="G91" s="595">
        <v>5033.3374999999996</v>
      </c>
      <c r="K91" s="201"/>
      <c r="L91" s="201"/>
      <c r="M91" s="201"/>
      <c r="N91" s="201"/>
      <c r="O91" s="201"/>
      <c r="P91" s="201"/>
      <c r="Q91" s="201"/>
      <c r="R91" s="201"/>
    </row>
    <row r="92" spans="1:18" s="258" customFormat="1" ht="16.3">
      <c r="A92" s="462" t="s">
        <v>3363</v>
      </c>
      <c r="B92" s="391">
        <v>928.64875000000006</v>
      </c>
      <c r="C92" s="391">
        <v>1109.6014843749999</v>
      </c>
      <c r="D92" s="637">
        <v>1207.2433750000002</v>
      </c>
      <c r="E92" s="637">
        <v>1442.4819296874998</v>
      </c>
      <c r="F92" s="594">
        <v>4643.2437500000005</v>
      </c>
      <c r="G92" s="595">
        <v>5548.0074218749996</v>
      </c>
      <c r="K92" s="201"/>
      <c r="L92" s="201"/>
      <c r="M92" s="201"/>
      <c r="N92" s="201"/>
      <c r="O92" s="201"/>
      <c r="P92" s="201"/>
      <c r="Q92" s="201"/>
      <c r="R92" s="201"/>
    </row>
    <row r="93" spans="1:18" s="258" customFormat="1" ht="16.3">
      <c r="A93" s="462" t="s">
        <v>3364</v>
      </c>
      <c r="B93" s="391">
        <v>1011.37</v>
      </c>
      <c r="C93" s="391">
        <v>1201.4364999999998</v>
      </c>
      <c r="D93" s="637">
        <v>1314.7810000000002</v>
      </c>
      <c r="E93" s="637">
        <v>1561.8674499999997</v>
      </c>
      <c r="F93" s="594">
        <v>5056.8500000000004</v>
      </c>
      <c r="G93" s="595">
        <v>6007.182499999999</v>
      </c>
      <c r="K93" s="201"/>
      <c r="L93" s="201"/>
      <c r="M93" s="201"/>
      <c r="N93" s="201"/>
      <c r="O93" s="201"/>
      <c r="P93" s="201"/>
      <c r="Q93" s="201"/>
      <c r="R93" s="201"/>
    </row>
    <row r="94" spans="1:18" s="258" customFormat="1" ht="16.3">
      <c r="A94" s="462" t="s">
        <v>3365</v>
      </c>
      <c r="B94" s="391">
        <v>1092.1675</v>
      </c>
      <c r="C94" s="391">
        <v>1299.8055859374999</v>
      </c>
      <c r="D94" s="637">
        <v>1419.8177499999999</v>
      </c>
      <c r="E94" s="637">
        <v>1689.74726171875</v>
      </c>
      <c r="F94" s="594">
        <v>5460.8374999999996</v>
      </c>
      <c r="G94" s="595">
        <v>6499.0279296874996</v>
      </c>
      <c r="K94" s="201"/>
      <c r="L94" s="201"/>
      <c r="M94" s="201"/>
      <c r="N94" s="201"/>
      <c r="O94" s="201"/>
      <c r="P94" s="201"/>
      <c r="Q94" s="201"/>
      <c r="R94" s="201"/>
    </row>
    <row r="95" spans="1:18" s="258" customFormat="1" ht="16.3">
      <c r="A95" s="462" t="s">
        <v>3366</v>
      </c>
      <c r="B95" s="391">
        <v>1132.5662500000001</v>
      </c>
      <c r="C95" s="391">
        <v>1357.9856640624998</v>
      </c>
      <c r="D95" s="637">
        <v>1472.3361249999998</v>
      </c>
      <c r="E95" s="637">
        <v>1765.3813632812498</v>
      </c>
      <c r="F95" s="594">
        <v>5662.8312499999993</v>
      </c>
      <c r="G95" s="595">
        <v>6789.9283203125005</v>
      </c>
      <c r="K95" s="201"/>
      <c r="L95" s="201"/>
      <c r="M95" s="201"/>
      <c r="N95" s="201"/>
      <c r="O95" s="201"/>
      <c r="P95" s="201"/>
      <c r="Q95" s="201"/>
      <c r="R95" s="201"/>
    </row>
    <row r="96" spans="1:18" s="258" customFormat="1" ht="16.3">
      <c r="A96" s="462" t="s">
        <v>3367</v>
      </c>
      <c r="B96" s="391">
        <v>1172.9649999999999</v>
      </c>
      <c r="C96" s="391">
        <v>1405.6933281250003</v>
      </c>
      <c r="D96" s="637">
        <v>1524.8544999999999</v>
      </c>
      <c r="E96" s="637">
        <v>1827.4013265625001</v>
      </c>
      <c r="F96" s="594">
        <v>5864.8249999999998</v>
      </c>
      <c r="G96" s="595">
        <v>7028.4666406250008</v>
      </c>
      <c r="K96" s="201"/>
      <c r="L96" s="201"/>
      <c r="M96" s="201"/>
      <c r="N96" s="201"/>
      <c r="O96" s="201"/>
      <c r="P96" s="201"/>
      <c r="Q96" s="201"/>
      <c r="R96" s="201"/>
    </row>
    <row r="97" spans="1:18" s="258" customFormat="1" ht="16.3">
      <c r="A97" s="462" t="s">
        <v>3368</v>
      </c>
      <c r="B97" s="391">
        <v>1253.7625</v>
      </c>
      <c r="C97" s="391">
        <v>1519.7262812499998</v>
      </c>
      <c r="D97" s="637">
        <v>1629.8912500000001</v>
      </c>
      <c r="E97" s="637">
        <v>1975.6441656249999</v>
      </c>
      <c r="F97" s="594">
        <v>6268.8125</v>
      </c>
      <c r="G97" s="595">
        <v>7598.6314062499987</v>
      </c>
      <c r="K97" s="201"/>
      <c r="L97" s="201"/>
      <c r="M97" s="201"/>
      <c r="N97" s="201"/>
      <c r="O97" s="201"/>
      <c r="P97" s="201"/>
      <c r="Q97" s="201"/>
      <c r="R97" s="201"/>
    </row>
    <row r="98" spans="1:18" s="258" customFormat="1" ht="17" thickBot="1">
      <c r="A98" s="463" t="s">
        <v>3369</v>
      </c>
      <c r="B98" s="394">
        <v>1334.5600000000002</v>
      </c>
      <c r="C98" s="394">
        <v>1602.3419921875002</v>
      </c>
      <c r="D98" s="636">
        <v>1734.9280000000001</v>
      </c>
      <c r="E98" s="636">
        <v>2083.0445898437501</v>
      </c>
      <c r="F98" s="597">
        <v>6672.8000000000011</v>
      </c>
      <c r="G98" s="598">
        <v>8011.7099609375</v>
      </c>
      <c r="K98" s="201"/>
      <c r="L98" s="201"/>
      <c r="M98" s="201"/>
      <c r="N98" s="201"/>
      <c r="O98" s="201"/>
      <c r="P98" s="201"/>
      <c r="Q98" s="201"/>
      <c r="R98" s="201"/>
    </row>
    <row r="99" spans="1:18" ht="32.6">
      <c r="A99" s="773" t="s">
        <v>2230</v>
      </c>
      <c r="B99" s="444" t="s">
        <v>770</v>
      </c>
      <c r="C99" s="444">
        <v>165</v>
      </c>
      <c r="D99" s="634" t="s">
        <v>770</v>
      </c>
      <c r="E99" s="634">
        <v>281.25</v>
      </c>
      <c r="F99" s="689" t="s">
        <v>770</v>
      </c>
      <c r="G99" s="690">
        <v>702.5</v>
      </c>
      <c r="L99" s="201"/>
      <c r="N99" s="201"/>
      <c r="P99" s="201"/>
    </row>
    <row r="100" spans="1:18" ht="32.6">
      <c r="A100" s="774" t="s">
        <v>2231</v>
      </c>
      <c r="B100" s="389" t="s">
        <v>770</v>
      </c>
      <c r="C100" s="391">
        <v>253.75</v>
      </c>
      <c r="D100" s="635" t="s">
        <v>770</v>
      </c>
      <c r="E100" s="637">
        <v>432.5</v>
      </c>
      <c r="F100" s="691" t="s">
        <v>770</v>
      </c>
      <c r="G100" s="595">
        <v>1081.25</v>
      </c>
      <c r="L100" s="201"/>
      <c r="N100" s="201"/>
      <c r="P100" s="201"/>
    </row>
    <row r="101" spans="1:18" ht="32.6">
      <c r="A101" s="775" t="s">
        <v>2232</v>
      </c>
      <c r="B101" s="391" t="s">
        <v>770</v>
      </c>
      <c r="C101" s="391">
        <v>337.5</v>
      </c>
      <c r="D101" s="637" t="s">
        <v>770</v>
      </c>
      <c r="E101" s="637">
        <v>573.75</v>
      </c>
      <c r="F101" s="594" t="s">
        <v>770</v>
      </c>
      <c r="G101" s="594">
        <v>1433.75</v>
      </c>
      <c r="L101" s="201"/>
      <c r="N101" s="201"/>
      <c r="P101" s="201"/>
    </row>
    <row r="102" spans="1:18" ht="32.6">
      <c r="A102" s="775" t="s">
        <v>2233</v>
      </c>
      <c r="B102" s="391" t="s">
        <v>770</v>
      </c>
      <c r="C102" s="391">
        <v>622.5</v>
      </c>
      <c r="D102" s="637" t="s">
        <v>770</v>
      </c>
      <c r="E102" s="637">
        <v>1058.75</v>
      </c>
      <c r="F102" s="594" t="s">
        <v>770</v>
      </c>
      <c r="G102" s="594">
        <v>2646.25</v>
      </c>
      <c r="L102" s="201"/>
      <c r="N102" s="201"/>
      <c r="P102" s="201"/>
    </row>
    <row r="103" spans="1:18" ht="32.6">
      <c r="A103" s="775" t="s">
        <v>2234</v>
      </c>
      <c r="B103" s="391" t="s">
        <v>770</v>
      </c>
      <c r="C103" s="391">
        <v>808.75</v>
      </c>
      <c r="D103" s="637" t="s">
        <v>770</v>
      </c>
      <c r="E103" s="637">
        <v>1373.75</v>
      </c>
      <c r="F103" s="594" t="s">
        <v>770</v>
      </c>
      <c r="G103" s="594">
        <v>3433.75</v>
      </c>
      <c r="L103" s="201"/>
      <c r="N103" s="201"/>
      <c r="P103" s="201"/>
    </row>
    <row r="104" spans="1:18" ht="32.6">
      <c r="A104" s="775" t="s">
        <v>2235</v>
      </c>
      <c r="B104" s="391" t="s">
        <v>770</v>
      </c>
      <c r="C104" s="391">
        <v>900</v>
      </c>
      <c r="D104" s="637" t="s">
        <v>770</v>
      </c>
      <c r="E104" s="637">
        <v>1530</v>
      </c>
      <c r="F104" s="594" t="s">
        <v>770</v>
      </c>
      <c r="G104" s="594">
        <v>3825</v>
      </c>
      <c r="L104" s="201"/>
      <c r="N104" s="201"/>
      <c r="P104" s="201"/>
    </row>
    <row r="105" spans="1:18" ht="123.8" customHeight="1" thickBot="1">
      <c r="A105" s="776" t="s">
        <v>2246</v>
      </c>
      <c r="B105" s="445" t="s">
        <v>770</v>
      </c>
      <c r="C105" s="445">
        <v>93.75</v>
      </c>
      <c r="D105" s="638" t="s">
        <v>770</v>
      </c>
      <c r="E105" s="638">
        <v>136.25</v>
      </c>
      <c r="F105" s="700" t="s">
        <v>770</v>
      </c>
      <c r="G105" s="696">
        <v>381.25</v>
      </c>
    </row>
    <row r="106" spans="1:18" ht="98.35" customHeight="1" thickBot="1">
      <c r="A106" s="448" t="s">
        <v>2306</v>
      </c>
      <c r="B106" s="447" t="s">
        <v>770</v>
      </c>
      <c r="C106" s="447">
        <v>31.25</v>
      </c>
      <c r="D106" s="641" t="s">
        <v>770</v>
      </c>
      <c r="E106" s="641">
        <v>56.25</v>
      </c>
      <c r="F106" s="701" t="s">
        <v>770</v>
      </c>
      <c r="G106" s="702">
        <v>122.5</v>
      </c>
    </row>
    <row r="107" spans="1:18" ht="99.7" customHeight="1" thickBot="1">
      <c r="A107" s="448" t="s">
        <v>2248</v>
      </c>
      <c r="B107" s="447" t="s">
        <v>770</v>
      </c>
      <c r="C107" s="447">
        <v>137.5</v>
      </c>
      <c r="D107" s="641" t="s">
        <v>770</v>
      </c>
      <c r="E107" s="641">
        <v>190</v>
      </c>
      <c r="F107" s="701" t="s">
        <v>770</v>
      </c>
      <c r="G107" s="702">
        <v>1020.5999999999999</v>
      </c>
    </row>
    <row r="108" spans="1:18" ht="121.6" customHeight="1" thickBot="1">
      <c r="A108" s="449" t="s">
        <v>2247</v>
      </c>
      <c r="B108" s="450" t="s">
        <v>770</v>
      </c>
      <c r="C108" s="450">
        <f>'Системы подвеса (2)'!C50*2*($H$2/100+1)</f>
        <v>113.66550000000001</v>
      </c>
      <c r="D108" s="642" t="s">
        <v>770</v>
      </c>
      <c r="E108" s="642">
        <f>'Системы подвеса (2)'!E50*1.8*($H$2/100+1)</f>
        <v>158.79239999999999</v>
      </c>
      <c r="F108" s="703" t="s">
        <v>770</v>
      </c>
      <c r="G108" s="704">
        <f>'Системы подвеса (2)'!G50*1.8*($H$2/100+1)</f>
        <v>563.76</v>
      </c>
    </row>
    <row r="109" spans="1:18" ht="25" customHeight="1">
      <c r="A109" s="464" t="s">
        <v>2002</v>
      </c>
      <c r="B109" s="444" t="s">
        <v>770</v>
      </c>
      <c r="C109" s="444">
        <v>86.528249999999986</v>
      </c>
      <c r="D109" s="634" t="s">
        <v>770</v>
      </c>
      <c r="E109" s="634">
        <v>91.260000000000019</v>
      </c>
      <c r="F109" s="689" t="s">
        <v>770</v>
      </c>
      <c r="G109" s="690">
        <v>291.60000000000002</v>
      </c>
      <c r="K109" s="201"/>
      <c r="L109" s="201"/>
    </row>
    <row r="110" spans="1:18" ht="25" customHeight="1">
      <c r="A110" s="462" t="s">
        <v>2003</v>
      </c>
      <c r="B110" s="391" t="s">
        <v>770</v>
      </c>
      <c r="C110" s="391">
        <v>154.77075000000002</v>
      </c>
      <c r="D110" s="637" t="s">
        <v>770</v>
      </c>
      <c r="E110" s="637">
        <v>127.76399999999998</v>
      </c>
      <c r="F110" s="594" t="s">
        <v>770</v>
      </c>
      <c r="G110" s="695">
        <v>408.24000000000007</v>
      </c>
      <c r="K110" s="201"/>
      <c r="L110" s="201"/>
    </row>
    <row r="111" spans="1:18" ht="25" customHeight="1">
      <c r="A111" s="462" t="s">
        <v>2004</v>
      </c>
      <c r="B111" s="391" t="s">
        <v>770</v>
      </c>
      <c r="C111" s="391">
        <v>174.37275</v>
      </c>
      <c r="D111" s="637" t="s">
        <v>770</v>
      </c>
      <c r="E111" s="637">
        <v>156.96720000000002</v>
      </c>
      <c r="F111" s="594" t="s">
        <v>770</v>
      </c>
      <c r="G111" s="695">
        <v>501.55200000000008</v>
      </c>
      <c r="K111" s="201"/>
      <c r="L111" s="201"/>
    </row>
    <row r="112" spans="1:18" ht="25" customHeight="1">
      <c r="A112" s="462" t="s">
        <v>2005</v>
      </c>
      <c r="B112" s="391" t="s">
        <v>770</v>
      </c>
      <c r="C112" s="391">
        <v>201.10274999999999</v>
      </c>
      <c r="D112" s="637" t="s">
        <v>770</v>
      </c>
      <c r="E112" s="637">
        <v>186.17040000000003</v>
      </c>
      <c r="F112" s="594" t="s">
        <v>770</v>
      </c>
      <c r="G112" s="695">
        <v>594.86400000000015</v>
      </c>
      <c r="K112" s="201"/>
      <c r="L112" s="201"/>
    </row>
    <row r="113" spans="1:12" ht="25" customHeight="1" thickBot="1">
      <c r="A113" s="463" t="s">
        <v>2006</v>
      </c>
      <c r="B113" s="394" t="s">
        <v>770</v>
      </c>
      <c r="C113" s="394">
        <v>232.74337500000004</v>
      </c>
      <c r="D113" s="636" t="s">
        <v>770</v>
      </c>
      <c r="E113" s="636">
        <v>211.72319999999999</v>
      </c>
      <c r="F113" s="597" t="s">
        <v>770</v>
      </c>
      <c r="G113" s="598">
        <v>676.51199999999994</v>
      </c>
      <c r="K113" s="201"/>
      <c r="L113" s="201"/>
    </row>
    <row r="114" spans="1:12" s="258" customFormat="1">
      <c r="A114" s="467"/>
    </row>
    <row r="115" spans="1:12" s="258" customFormat="1">
      <c r="A115" s="467"/>
    </row>
    <row r="116" spans="1:12" s="258" customFormat="1">
      <c r="A116" s="467"/>
    </row>
    <row r="117" spans="1:12" s="258" customFormat="1">
      <c r="A117" s="467"/>
    </row>
    <row r="118" spans="1:12" s="258" customFormat="1">
      <c r="A118" s="467"/>
    </row>
    <row r="119" spans="1:12" s="258" customFormat="1">
      <c r="A119" s="467"/>
    </row>
    <row r="120" spans="1:12" s="258" customFormat="1">
      <c r="A120" s="467"/>
    </row>
    <row r="121" spans="1:12" s="258" customFormat="1">
      <c r="A121" s="467"/>
    </row>
    <row r="122" spans="1:12" s="258" customFormat="1">
      <c r="A122" s="467"/>
    </row>
    <row r="123" spans="1:12" s="258" customFormat="1">
      <c r="A123" s="467"/>
    </row>
    <row r="124" spans="1:12" s="258" customFormat="1">
      <c r="A124" s="467"/>
    </row>
    <row r="125" spans="1:12" s="258" customFormat="1">
      <c r="A125" s="467"/>
    </row>
    <row r="126" spans="1:12" s="258" customFormat="1">
      <c r="A126" s="467"/>
    </row>
    <row r="127" spans="1:12" s="258" customFormat="1">
      <c r="A127" s="467"/>
    </row>
    <row r="128" spans="1:12" s="258" customFormat="1">
      <c r="A128" s="467"/>
    </row>
    <row r="129" spans="1:1" s="258" customFormat="1">
      <c r="A129" s="467"/>
    </row>
    <row r="130" spans="1:1" s="258" customFormat="1">
      <c r="A130" s="467"/>
    </row>
    <row r="131" spans="1:1" s="258" customFormat="1">
      <c r="A131" s="467"/>
    </row>
    <row r="132" spans="1:1" s="258" customFormat="1">
      <c r="A132" s="467"/>
    </row>
    <row r="133" spans="1:1" s="258" customFormat="1">
      <c r="A133" s="467"/>
    </row>
    <row r="134" spans="1:1" s="258" customFormat="1">
      <c r="A134" s="467"/>
    </row>
    <row r="135" spans="1:1" s="258" customFormat="1">
      <c r="A135" s="467"/>
    </row>
    <row r="136" spans="1:1" s="258" customFormat="1">
      <c r="A136" s="467"/>
    </row>
    <row r="137" spans="1:1" s="258" customFormat="1">
      <c r="A137" s="467"/>
    </row>
    <row r="138" spans="1:1" s="258" customFormat="1">
      <c r="A138" s="467"/>
    </row>
    <row r="139" spans="1:1" s="258" customFormat="1">
      <c r="A139" s="467"/>
    </row>
    <row r="140" spans="1:1" s="258" customFormat="1">
      <c r="A140" s="467"/>
    </row>
    <row r="141" spans="1:1" s="258" customFormat="1">
      <c r="A141" s="467"/>
    </row>
    <row r="142" spans="1:1" s="258" customFormat="1">
      <c r="A142" s="467"/>
    </row>
    <row r="143" spans="1:1" s="258" customFormat="1">
      <c r="A143" s="467"/>
    </row>
    <row r="144" spans="1:1" s="258" customFormat="1">
      <c r="A144" s="467"/>
    </row>
    <row r="145" spans="1:1" s="258" customFormat="1">
      <c r="A145" s="467"/>
    </row>
    <row r="146" spans="1:1" s="258" customFormat="1">
      <c r="A146" s="467"/>
    </row>
    <row r="147" spans="1:1" s="258" customFormat="1">
      <c r="A147" s="467"/>
    </row>
    <row r="148" spans="1:1" s="258" customFormat="1">
      <c r="A148" s="467"/>
    </row>
    <row r="149" spans="1:1" s="258" customFormat="1">
      <c r="A149" s="467"/>
    </row>
    <row r="150" spans="1:1" s="258" customFormat="1">
      <c r="A150" s="467"/>
    </row>
    <row r="151" spans="1:1" s="258" customFormat="1">
      <c r="A151" s="467"/>
    </row>
    <row r="152" spans="1:1" s="258" customFormat="1">
      <c r="A152" s="467"/>
    </row>
    <row r="153" spans="1:1" s="258" customFormat="1">
      <c r="A153" s="467"/>
    </row>
    <row r="154" spans="1:1" s="258" customFormat="1">
      <c r="A154" s="467"/>
    </row>
    <row r="155" spans="1:1" s="258" customFormat="1">
      <c r="A155" s="467"/>
    </row>
    <row r="156" spans="1:1" s="258" customFormat="1">
      <c r="A156" s="467"/>
    </row>
    <row r="157" spans="1:1" s="258" customFormat="1">
      <c r="A157" s="467"/>
    </row>
    <row r="158" spans="1:1" s="258" customFormat="1">
      <c r="A158" s="467"/>
    </row>
    <row r="159" spans="1:1" s="258" customFormat="1">
      <c r="A159" s="467"/>
    </row>
    <row r="160" spans="1:1" s="258" customFormat="1">
      <c r="A160" s="467"/>
    </row>
    <row r="161" spans="1:1" s="258" customFormat="1">
      <c r="A161" s="467"/>
    </row>
    <row r="162" spans="1:1" s="258" customFormat="1">
      <c r="A162" s="467"/>
    </row>
    <row r="163" spans="1:1" s="258" customFormat="1">
      <c r="A163" s="467"/>
    </row>
    <row r="164" spans="1:1" s="258" customFormat="1">
      <c r="A164" s="467"/>
    </row>
    <row r="165" spans="1:1" s="258" customFormat="1">
      <c r="A165" s="467"/>
    </row>
    <row r="166" spans="1:1" s="258" customFormat="1">
      <c r="A166" s="467"/>
    </row>
    <row r="167" spans="1:1" s="258" customFormat="1">
      <c r="A167" s="467"/>
    </row>
    <row r="168" spans="1:1" s="258" customFormat="1">
      <c r="A168" s="467"/>
    </row>
    <row r="169" spans="1:1" s="258" customFormat="1">
      <c r="A169" s="467"/>
    </row>
    <row r="170" spans="1:1" s="258" customFormat="1">
      <c r="A170" s="467"/>
    </row>
    <row r="171" spans="1:1" s="258" customFormat="1">
      <c r="A171" s="467"/>
    </row>
    <row r="172" spans="1:1" s="258" customFormat="1">
      <c r="A172" s="467"/>
    </row>
    <row r="173" spans="1:1" s="258" customFormat="1">
      <c r="A173" s="467"/>
    </row>
    <row r="174" spans="1:1" s="258" customFormat="1">
      <c r="A174" s="467"/>
    </row>
    <row r="175" spans="1:1" s="258" customFormat="1">
      <c r="A175" s="467"/>
    </row>
    <row r="176" spans="1:1" s="258" customFormat="1">
      <c r="A176" s="467"/>
    </row>
    <row r="177" spans="1:1" s="258" customFormat="1">
      <c r="A177" s="467"/>
    </row>
    <row r="178" spans="1:1" s="258" customFormat="1">
      <c r="A178" s="467"/>
    </row>
    <row r="179" spans="1:1" s="258" customFormat="1">
      <c r="A179" s="467"/>
    </row>
    <row r="180" spans="1:1" s="258" customFormat="1">
      <c r="A180" s="467"/>
    </row>
    <row r="181" spans="1:1" s="258" customFormat="1">
      <c r="A181" s="467"/>
    </row>
    <row r="182" spans="1:1" s="258" customFormat="1">
      <c r="A182" s="467"/>
    </row>
    <row r="183" spans="1:1" s="258" customFormat="1">
      <c r="A183" s="467"/>
    </row>
    <row r="184" spans="1:1" s="258" customFormat="1">
      <c r="A184" s="467"/>
    </row>
    <row r="185" spans="1:1" s="258" customFormat="1">
      <c r="A185" s="467"/>
    </row>
    <row r="186" spans="1:1" s="258" customFormat="1">
      <c r="A186" s="467"/>
    </row>
    <row r="187" spans="1:1" s="258" customFormat="1">
      <c r="A187" s="467"/>
    </row>
    <row r="188" spans="1:1" s="258" customFormat="1">
      <c r="A188" s="467"/>
    </row>
    <row r="189" spans="1:1" s="258" customFormat="1">
      <c r="A189" s="467"/>
    </row>
    <row r="190" spans="1:1" s="258" customFormat="1">
      <c r="A190" s="467"/>
    </row>
    <row r="191" spans="1:1" s="258" customFormat="1">
      <c r="A191" s="467"/>
    </row>
    <row r="192" spans="1:1" s="258" customFormat="1">
      <c r="A192" s="467"/>
    </row>
    <row r="193" spans="1:1" s="258" customFormat="1">
      <c r="A193" s="467"/>
    </row>
    <row r="194" spans="1:1" s="258" customFormat="1">
      <c r="A194" s="467"/>
    </row>
    <row r="195" spans="1:1" s="258" customFormat="1">
      <c r="A195" s="467"/>
    </row>
    <row r="196" spans="1:1" s="258" customFormat="1">
      <c r="A196" s="467"/>
    </row>
    <row r="197" spans="1:1" s="258" customFormat="1">
      <c r="A197" s="467"/>
    </row>
    <row r="198" spans="1:1" s="258" customFormat="1">
      <c r="A198" s="467"/>
    </row>
    <row r="199" spans="1:1" s="258" customFormat="1">
      <c r="A199" s="467"/>
    </row>
    <row r="200" spans="1:1" s="258" customFormat="1">
      <c r="A200" s="467"/>
    </row>
    <row r="201" spans="1:1" s="258" customFormat="1">
      <c r="A201" s="467"/>
    </row>
    <row r="202" spans="1:1" s="258" customFormat="1">
      <c r="A202" s="467"/>
    </row>
    <row r="203" spans="1:1" s="258" customFormat="1">
      <c r="A203" s="467"/>
    </row>
    <row r="204" spans="1:1" s="258" customFormat="1">
      <c r="A204" s="467"/>
    </row>
    <row r="205" spans="1:1" s="258" customFormat="1">
      <c r="A205" s="467"/>
    </row>
    <row r="206" spans="1:1" s="258" customFormat="1">
      <c r="A206" s="467"/>
    </row>
    <row r="207" spans="1:1" s="258" customFormat="1">
      <c r="A207" s="467"/>
    </row>
    <row r="208" spans="1:1" s="258" customFormat="1">
      <c r="A208" s="467"/>
    </row>
    <row r="209" spans="1:1" s="258" customFormat="1">
      <c r="A209" s="467"/>
    </row>
    <row r="210" spans="1:1" s="258" customFormat="1">
      <c r="A210" s="467"/>
    </row>
    <row r="211" spans="1:1" s="258" customFormat="1">
      <c r="A211" s="467"/>
    </row>
  </sheetData>
  <sheetProtection formatCells="0" formatColumns="0" formatRows="0" insertColumns="0" insertRows="0" insertHyperlinks="0" deleteColumns="0" deleteRows="0" sort="0" autoFilter="0" pivotTables="0"/>
  <mergeCells count="5">
    <mergeCell ref="J1:J2"/>
    <mergeCell ref="I1:I2"/>
    <mergeCell ref="B1:C1"/>
    <mergeCell ref="F1:G1"/>
    <mergeCell ref="D1:E1"/>
  </mergeCells>
  <hyperlinks>
    <hyperlink ref="I1" location="ГЛАВНАЯ!A1" display="На главную" xr:uid="{00000000-0004-0000-0A00-000000000000}"/>
  </hyperlinks>
  <pageMargins left="0.7" right="0.7" top="0.75" bottom="0.75" header="0.3" footer="0.3"/>
  <pageSetup paperSize="9" scale="20" fitToWidth="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8"/>
  <dimension ref="A1:I20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J15" sqref="J15"/>
    </sheetView>
  </sheetViews>
  <sheetFormatPr defaultColWidth="9.125" defaultRowHeight="14.3"/>
  <cols>
    <col min="1" max="1" width="44.625" style="259" bestFit="1" customWidth="1"/>
    <col min="2" max="2" width="13.25" style="355" customWidth="1"/>
    <col min="3" max="3" width="18.625" style="650" customWidth="1"/>
    <col min="4" max="4" width="19.25" style="200" hidden="1" customWidth="1"/>
    <col min="5" max="5" width="17" style="200" customWidth="1"/>
    <col min="6" max="6" width="11.625" style="200" customWidth="1"/>
    <col min="7" max="7" width="9.125" style="200"/>
    <col min="8" max="8" width="13.125" style="200" customWidth="1"/>
    <col min="9" max="16384" width="9.125" style="200"/>
  </cols>
  <sheetData>
    <row r="1" spans="1:9" ht="18.7" customHeight="1">
      <c r="A1" s="836" t="s">
        <v>2</v>
      </c>
      <c r="B1" s="876" t="s">
        <v>2274</v>
      </c>
      <c r="C1" s="878" t="s">
        <v>2275</v>
      </c>
      <c r="D1" s="249" t="s">
        <v>3591</v>
      </c>
      <c r="E1" s="797" t="s">
        <v>2304</v>
      </c>
      <c r="F1" s="882" t="s">
        <v>3595</v>
      </c>
      <c r="G1" s="883"/>
      <c r="H1" s="884"/>
      <c r="I1" s="451"/>
    </row>
    <row r="2" spans="1:9" ht="14.95" customHeight="1" thickBot="1">
      <c r="A2" s="851"/>
      <c r="B2" s="877"/>
      <c r="C2" s="879"/>
      <c r="D2" s="250">
        <v>50</v>
      </c>
      <c r="E2" s="798"/>
      <c r="F2" s="885"/>
      <c r="G2" s="886"/>
      <c r="H2" s="887"/>
      <c r="I2" s="451"/>
    </row>
    <row r="3" spans="1:9" ht="17.350000000000001" customHeight="1" thickBot="1">
      <c r="A3" s="623" t="s">
        <v>2296</v>
      </c>
      <c r="B3" s="880"/>
      <c r="C3" s="881"/>
    </row>
    <row r="4" spans="1:9" ht="14.95" customHeight="1" thickBot="1">
      <c r="A4" s="452" t="s">
        <v>1170</v>
      </c>
      <c r="B4" s="396">
        <f>'Полки,Стойки (2)'!B3*2.5*($D$2/100+1)</f>
        <v>185.39999999999998</v>
      </c>
      <c r="C4" s="643">
        <f>'Полки,Стойки (2)'!C3*2.5*($D$2/100+1)</f>
        <v>251.25</v>
      </c>
      <c r="I4" s="201"/>
    </row>
    <row r="5" spans="1:9" ht="14.95" customHeight="1" thickBot="1">
      <c r="A5" s="453" t="s">
        <v>1171</v>
      </c>
      <c r="B5" s="396">
        <f>'Полки,Стойки (2)'!B4*2.5*($D$2/100+1)</f>
        <v>278.09999999999997</v>
      </c>
      <c r="C5" s="644">
        <f>'Полки,Стойки (2)'!C4*2.5*($D$2/100+1)</f>
        <v>382.5</v>
      </c>
    </row>
    <row r="6" spans="1:9" ht="14.95" customHeight="1" thickBot="1">
      <c r="A6" s="453" t="s">
        <v>1172</v>
      </c>
      <c r="B6" s="396">
        <f>'Полки,Стойки (2)'!B5*2.5*($D$2/100+1)</f>
        <v>363.07500000000005</v>
      </c>
      <c r="C6" s="644">
        <f>'Полки,Стойки (2)'!C5*2.5*($D$2/100+1)</f>
        <v>502.5</v>
      </c>
    </row>
    <row r="7" spans="1:9" ht="14.95" customHeight="1" thickBot="1">
      <c r="A7" s="453" t="s">
        <v>1173</v>
      </c>
      <c r="B7" s="396">
        <f>'Полки,Стойки (2)'!B6*2.5*($D$2/100+1)</f>
        <v>552.33749999999998</v>
      </c>
      <c r="C7" s="644">
        <f>'Полки,Стойки (2)'!C6*2.5*($D$2/100+1)</f>
        <v>753.75</v>
      </c>
    </row>
    <row r="8" spans="1:9" ht="14.95" customHeight="1" thickBot="1">
      <c r="A8" s="453" t="s">
        <v>1174</v>
      </c>
      <c r="B8" s="396">
        <f>'Полки,Стойки (2)'!B7*2.5*($D$2/100+1)</f>
        <v>818.85000000000014</v>
      </c>
      <c r="C8" s="644">
        <f>'Полки,Стойки (2)'!C7*2.5*($D$2/100+1)</f>
        <v>1117.5</v>
      </c>
    </row>
    <row r="9" spans="1:9" ht="14.95" customHeight="1" thickBot="1">
      <c r="A9" s="454" t="s">
        <v>1175</v>
      </c>
      <c r="B9" s="396">
        <f>'Полки,Стойки (2)'!B8*2.5*($D$2/100+1)</f>
        <v>1000.3874999999999</v>
      </c>
      <c r="C9" s="645">
        <f>'Полки,Стойки (2)'!C8*2.5*($D$2/100+1)</f>
        <v>1327.5</v>
      </c>
    </row>
    <row r="10" spans="1:9" ht="14.95" customHeight="1" thickBot="1">
      <c r="A10" s="613" t="s">
        <v>2297</v>
      </c>
      <c r="B10" s="890"/>
      <c r="C10" s="881"/>
    </row>
    <row r="11" spans="1:9" ht="14.95" customHeight="1">
      <c r="A11" s="452" t="s">
        <v>1170</v>
      </c>
      <c r="B11" s="396">
        <f>'Полки,Стойки (2)'!B10*2.5*($D$2/100+1)</f>
        <v>224.02499999999998</v>
      </c>
      <c r="C11" s="643">
        <f>'Полки,Стойки (2)'!C10*2.5*($D$2/100+1)</f>
        <v>307.5</v>
      </c>
    </row>
    <row r="12" spans="1:9" ht="14.95" customHeight="1">
      <c r="A12" s="453" t="s">
        <v>1171</v>
      </c>
      <c r="B12" s="397">
        <f>'Полки,Стойки (2)'!B11*2.5*($D$2/100+1)</f>
        <v>336.03750000000002</v>
      </c>
      <c r="C12" s="644">
        <f>'Полки,Стойки (2)'!C11*2.5*($D$2/100+1)</f>
        <v>465</v>
      </c>
    </row>
    <row r="13" spans="1:9" ht="14.95" customHeight="1">
      <c r="A13" s="453" t="s">
        <v>1172</v>
      </c>
      <c r="B13" s="397">
        <f>'Полки,Стойки (2)'!B12*2.5*($D$2/100+1)</f>
        <v>440.32500000000005</v>
      </c>
      <c r="C13" s="644">
        <f>'Полки,Стойки (2)'!C12*2.5*($D$2/100+1)</f>
        <v>615</v>
      </c>
    </row>
    <row r="14" spans="1:9" ht="14.95" customHeight="1">
      <c r="A14" s="453" t="s">
        <v>1176</v>
      </c>
      <c r="B14" s="397">
        <f>'Полки,Стойки (2)'!B13*2.5*($D$2/100+1)</f>
        <v>664.34999999999991</v>
      </c>
      <c r="C14" s="644">
        <f>'Полки,Стойки (2)'!C13*2.5*($D$2/100+1)</f>
        <v>918.75</v>
      </c>
    </row>
    <row r="15" spans="1:9" ht="14.95" customHeight="1">
      <c r="A15" s="453" t="s">
        <v>1174</v>
      </c>
      <c r="B15" s="397">
        <f>'Полки,Стойки (2)'!B14*2.5*($D$2/100+1)</f>
        <v>992.66249999999991</v>
      </c>
      <c r="C15" s="644">
        <f>'Полки,Стойки (2)'!C14*2.5*($D$2/100+1)</f>
        <v>1372.5</v>
      </c>
    </row>
    <row r="16" spans="1:9" ht="14.95" customHeight="1" thickBot="1">
      <c r="A16" s="454" t="s">
        <v>1175</v>
      </c>
      <c r="B16" s="398">
        <f>'Полки,Стойки (2)'!B15*2.5*($D$2/100+1)</f>
        <v>1181.9250000000002</v>
      </c>
      <c r="C16" s="645">
        <f>'Полки,Стойки (2)'!C15*2.5*($D$2/100+1)</f>
        <v>1650</v>
      </c>
    </row>
    <row r="17" spans="1:3" ht="14.95" customHeight="1" thickBot="1">
      <c r="A17" s="624" t="s">
        <v>2298</v>
      </c>
      <c r="B17" s="890"/>
      <c r="C17" s="881"/>
    </row>
    <row r="18" spans="1:3" ht="16.3">
      <c r="A18" s="455" t="s">
        <v>1177</v>
      </c>
      <c r="B18" s="397">
        <f>'Полки,Стойки (2)'!B17*2.5*($D$2/100+1)</f>
        <v>57.9375</v>
      </c>
      <c r="C18" s="644">
        <f>'Полки,Стойки (2)'!C17*2.5*($D$2/100+1)</f>
        <v>82.5</v>
      </c>
    </row>
    <row r="19" spans="1:3" ht="16.3">
      <c r="A19" s="456" t="s">
        <v>1178</v>
      </c>
      <c r="B19" s="397">
        <f>'Полки,Стойки (2)'!B18*2.5*($D$2/100+1)</f>
        <v>84.974999999999994</v>
      </c>
      <c r="C19" s="644">
        <f>'Полки,Стойки (2)'!C18*2.5*($D$2/100+1)</f>
        <v>112.5</v>
      </c>
    </row>
    <row r="20" spans="1:3" ht="16.3">
      <c r="A20" s="456" t="s">
        <v>1179</v>
      </c>
      <c r="B20" s="397">
        <f>'Полки,Стойки (2)'!B19*2.5*($D$2/100+1)</f>
        <v>135.18750000000003</v>
      </c>
      <c r="C20" s="644">
        <f>'Полки,Стойки (2)'!C19*2.5*($D$2/100+1)</f>
        <v>172.5</v>
      </c>
    </row>
    <row r="21" spans="1:3" ht="16.3">
      <c r="A21" s="456" t="s">
        <v>1180</v>
      </c>
      <c r="B21" s="397">
        <f>'Полки,Стойки (2)'!B20*2.5*($D$2/100+1)</f>
        <v>169.95</v>
      </c>
      <c r="C21" s="644">
        <f>'Полки,Стойки (2)'!C20*2.5*($D$2/100+1)</f>
        <v>228.75</v>
      </c>
    </row>
    <row r="22" spans="1:3" ht="17" thickBot="1">
      <c r="A22" s="457" t="s">
        <v>1181</v>
      </c>
      <c r="B22" s="397">
        <f>'Полки,Стойки (2)'!B21*2.5*($D$2/100+1)</f>
        <v>278.09999999999997</v>
      </c>
      <c r="C22" s="644">
        <f>'Полки,Стойки (2)'!C21*2.5*($D$2/100+1)</f>
        <v>311.25</v>
      </c>
    </row>
    <row r="23" spans="1:3" ht="19.7" thickBot="1">
      <c r="A23" s="624" t="s">
        <v>2295</v>
      </c>
      <c r="B23" s="890"/>
      <c r="C23" s="881"/>
    </row>
    <row r="24" spans="1:3" ht="16.3">
      <c r="A24" s="455" t="s">
        <v>1177</v>
      </c>
      <c r="B24" s="397">
        <f>'Полки,Стойки (2)'!B23*2.5*($D$2/100+1)</f>
        <v>73.387499999999989</v>
      </c>
      <c r="C24" s="644">
        <f>'Полки,Стойки (2)'!C23*2.5*($D$2/100+1)</f>
        <v>90</v>
      </c>
    </row>
    <row r="25" spans="1:3" ht="16.3">
      <c r="A25" s="456" t="s">
        <v>1178</v>
      </c>
      <c r="B25" s="397">
        <f>'Полки,Стойки (2)'!B24*2.5*($D$2/100+1)</f>
        <v>115.875</v>
      </c>
      <c r="C25" s="644">
        <f>'Полки,Стойки (2)'!C24*2.5*($D$2/100+1)</f>
        <v>146.25</v>
      </c>
    </row>
    <row r="26" spans="1:3" ht="16.3">
      <c r="A26" s="456" t="s">
        <v>1179</v>
      </c>
      <c r="B26" s="397">
        <f>'Полки,Стойки (2)'!B25*2.5*($D$2/100+1)</f>
        <v>158.36250000000001</v>
      </c>
      <c r="C26" s="644">
        <f>'Полки,Стойки (2)'!C25*2.5*($D$2/100+1)</f>
        <v>225</v>
      </c>
    </row>
    <row r="27" spans="1:3" ht="16.3">
      <c r="A27" s="456" t="s">
        <v>1180</v>
      </c>
      <c r="B27" s="397">
        <f>'Полки,Стойки (2)'!B26*2.5*($D$2/100+1)</f>
        <v>224.02499999999998</v>
      </c>
      <c r="C27" s="644">
        <f>'Полки,Стойки (2)'!C26*2.5*($D$2/100+1)</f>
        <v>288.75</v>
      </c>
    </row>
    <row r="28" spans="1:3" ht="17" thickBot="1">
      <c r="A28" s="457" t="s">
        <v>1182</v>
      </c>
      <c r="B28" s="397">
        <f>'Полки,Стойки (2)'!B27*2.5*($D$2/100+1)</f>
        <v>370.79999999999995</v>
      </c>
      <c r="C28" s="644">
        <f>'Полки,Стойки (2)'!C27*2.5*($D$2/100+1)</f>
        <v>431.25</v>
      </c>
    </row>
    <row r="29" spans="1:3" ht="19.7" thickBot="1">
      <c r="A29" s="624" t="s">
        <v>2294</v>
      </c>
      <c r="B29" s="890"/>
      <c r="C29" s="881"/>
    </row>
    <row r="30" spans="1:3" ht="16.3">
      <c r="A30" s="455" t="s">
        <v>752</v>
      </c>
      <c r="B30" s="397">
        <f>'Полки,Стойки (2)'!B29*2.5*($D$2/100+1)</f>
        <v>440.32500000000005</v>
      </c>
      <c r="C30" s="644">
        <f>'Полки,Стойки (2)'!C29*2.5*($D$2/100+1)</f>
        <v>611.25</v>
      </c>
    </row>
    <row r="31" spans="1:3" ht="16.3">
      <c r="A31" s="456" t="s">
        <v>753</v>
      </c>
      <c r="B31" s="397">
        <f>'Полки,Стойки (2)'!B30*2.5*($D$2/100+1)</f>
        <v>525.30000000000007</v>
      </c>
      <c r="C31" s="644">
        <f>'Полки,Стойки (2)'!C30*2.5*($D$2/100+1)</f>
        <v>667.5</v>
      </c>
    </row>
    <row r="32" spans="1:3" ht="16.3">
      <c r="A32" s="456" t="s">
        <v>759</v>
      </c>
      <c r="B32" s="397">
        <f>'Полки,Стойки (2)'!B31*2.5*($D$2/100+1)</f>
        <v>563.92499999999995</v>
      </c>
      <c r="C32" s="644">
        <f>'Полки,Стойки (2)'!C31*2.5*($D$2/100+1)</f>
        <v>708.75</v>
      </c>
    </row>
    <row r="33" spans="1:3" ht="16.3">
      <c r="A33" s="456" t="s">
        <v>754</v>
      </c>
      <c r="B33" s="397">
        <f>'Полки,Стойки (2)'!B32*2.5*($D$2/100+1)</f>
        <v>621.86250000000007</v>
      </c>
      <c r="C33" s="644">
        <f>'Полки,Стойки (2)'!C32*2.5*($D$2/100+1)</f>
        <v>787.5</v>
      </c>
    </row>
    <row r="34" spans="1:3" ht="16.3">
      <c r="A34" s="456" t="s">
        <v>755</v>
      </c>
      <c r="B34" s="397">
        <f>'Полки,Стойки (2)'!B33*2.5*($D$2/100+1)</f>
        <v>861.33750000000009</v>
      </c>
      <c r="C34" s="644">
        <f>'Полки,Стойки (2)'!C33*2.5*($D$2/100+1)</f>
        <v>1072.5</v>
      </c>
    </row>
    <row r="35" spans="1:3" ht="16.3">
      <c r="A35" s="456" t="s">
        <v>756</v>
      </c>
      <c r="B35" s="397">
        <f>'Полки,Стойки (2)'!B34*2.5*($D$2/100+1)</f>
        <v>911.55000000000007</v>
      </c>
      <c r="C35" s="644">
        <f>'Полки,Стойки (2)'!C34*2.5*($D$2/100+1)</f>
        <v>1166.25</v>
      </c>
    </row>
    <row r="36" spans="1:3" ht="16.3">
      <c r="A36" s="456" t="s">
        <v>757</v>
      </c>
      <c r="B36" s="397">
        <f>'Полки,Стойки (2)'!B35*2.5*($D$2/100+1)</f>
        <v>1093.0875000000001</v>
      </c>
      <c r="C36" s="644">
        <f>'Полки,Стойки (2)'!C35*2.5*($D$2/100+1)</f>
        <v>1248.75</v>
      </c>
    </row>
    <row r="37" spans="1:3" ht="17" thickBot="1">
      <c r="A37" s="457" t="s">
        <v>758</v>
      </c>
      <c r="B37" s="397">
        <f>'Полки,Стойки (2)'!B36*2.5*($D$2/100+1)</f>
        <v>1657.0124999999998</v>
      </c>
      <c r="C37" s="644">
        <f>'Полки,Стойки (2)'!C36*2.5*($D$2/100+1)</f>
        <v>1938.75</v>
      </c>
    </row>
    <row r="38" spans="1:3" ht="19.7" thickBot="1">
      <c r="A38" s="625" t="s">
        <v>2299</v>
      </c>
      <c r="B38" s="890"/>
      <c r="C38" s="881"/>
    </row>
    <row r="39" spans="1:3" ht="16.3">
      <c r="A39" s="455" t="s">
        <v>752</v>
      </c>
      <c r="B39" s="397">
        <f>'Полки,Стойки (2)'!B38*2.5*($D$2/100+1)</f>
        <v>529.16250000000002</v>
      </c>
      <c r="C39" s="644">
        <f>'Полки,Стойки (2)'!C38*2.5*($D$2/100+1)</f>
        <v>690</v>
      </c>
    </row>
    <row r="40" spans="1:3" ht="16.3">
      <c r="A40" s="456" t="s">
        <v>753</v>
      </c>
      <c r="B40" s="397">
        <f>'Полки,Стойки (2)'!B39*2.5*($D$2/100+1)</f>
        <v>621.86250000000007</v>
      </c>
      <c r="C40" s="644">
        <f>'Полки,Стойки (2)'!C39*2.5*($D$2/100+1)</f>
        <v>753.75</v>
      </c>
    </row>
    <row r="41" spans="1:3" ht="16.3">
      <c r="A41" s="456" t="s">
        <v>759</v>
      </c>
      <c r="B41" s="397">
        <f>'Полки,Стойки (2)'!B40*2.5*($D$2/100+1)</f>
        <v>660.48749999999995</v>
      </c>
      <c r="C41" s="644">
        <f>'Полки,Стойки (2)'!C40*2.5*($D$2/100+1)</f>
        <v>1042.5</v>
      </c>
    </row>
    <row r="42" spans="1:3" ht="16.3">
      <c r="A42" s="456" t="s">
        <v>754</v>
      </c>
      <c r="B42" s="397">
        <f>'Полки,Стойки (2)'!B41*2.5*($D$2/100+1)</f>
        <v>753.1875</v>
      </c>
      <c r="C42" s="644">
        <f>'Полки,Стойки (2)'!C41*2.5*($D$2/100+1)</f>
        <v>975</v>
      </c>
    </row>
    <row r="43" spans="1:3" ht="16.3">
      <c r="A43" s="456" t="s">
        <v>755</v>
      </c>
      <c r="B43" s="397">
        <f>'Полки,Стойки (2)'!B42*2.5*($D$2/100+1)</f>
        <v>984.93750000000023</v>
      </c>
      <c r="C43" s="644">
        <f>'Полки,Стойки (2)'!C42*2.5*($D$2/100+1)</f>
        <v>1286.25</v>
      </c>
    </row>
    <row r="44" spans="1:3" ht="16.3">
      <c r="A44" s="456" t="s">
        <v>756</v>
      </c>
      <c r="B44" s="397">
        <f>'Полки,Стойки (2)'!B43*2.5*($D$2/100+1)</f>
        <v>1120.125</v>
      </c>
      <c r="C44" s="644">
        <f>'Полки,Стойки (2)'!C43*2.5*($D$2/100+1)</f>
        <v>1451.25</v>
      </c>
    </row>
    <row r="45" spans="1:3" ht="16.3">
      <c r="A45" s="456" t="s">
        <v>757</v>
      </c>
      <c r="B45" s="397">
        <f>'Полки,Стойки (2)'!B44*2.5*($D$2/100+1)</f>
        <v>1286.2125000000001</v>
      </c>
      <c r="C45" s="644">
        <f>'Полки,Стойки (2)'!C44*2.5*($D$2/100+1)</f>
        <v>1638.75</v>
      </c>
    </row>
    <row r="46" spans="1:3" ht="17" thickBot="1">
      <c r="A46" s="457" t="s">
        <v>758</v>
      </c>
      <c r="B46" s="397">
        <f>'Полки,Стойки (2)'!B45*2.5*($D$2/100+1)</f>
        <v>1996.9125000000001</v>
      </c>
      <c r="C46" s="644">
        <f>'Полки,Стойки (2)'!C45*2.5*($D$2/100+1)</f>
        <v>2565</v>
      </c>
    </row>
    <row r="47" spans="1:3" ht="19.7" thickBot="1">
      <c r="A47" s="625" t="s">
        <v>1</v>
      </c>
      <c r="B47" s="890"/>
      <c r="C47" s="881"/>
    </row>
    <row r="48" spans="1:3" ht="67.599999999999994" customHeight="1" thickBot="1">
      <c r="A48" s="399" t="s">
        <v>1183</v>
      </c>
      <c r="B48" s="400">
        <f>'Полки,Стойки (2)'!B47*2*($D$2/100+1)</f>
        <v>46.35</v>
      </c>
      <c r="C48" s="646">
        <f>'Полки,Стойки (2)'!C47*2*($D$2/100+1)</f>
        <v>57</v>
      </c>
    </row>
    <row r="49" spans="1:3" ht="19.7" thickBot="1">
      <c r="A49" s="625" t="s">
        <v>62</v>
      </c>
      <c r="B49" s="890"/>
      <c r="C49" s="881"/>
    </row>
    <row r="50" spans="1:3" ht="63" customHeight="1" thickBot="1">
      <c r="A50" s="401" t="s">
        <v>63</v>
      </c>
      <c r="B50" s="400">
        <f>'Полки,Стойки (2)'!B49*2*($D$2/100+1)</f>
        <v>55.62</v>
      </c>
      <c r="C50" s="647" t="s">
        <v>770</v>
      </c>
    </row>
    <row r="51" spans="1:3" ht="19.7" thickBot="1">
      <c r="A51" s="625" t="s">
        <v>750</v>
      </c>
      <c r="B51" s="890"/>
      <c r="C51" s="881"/>
    </row>
    <row r="52" spans="1:3" ht="128.25" customHeight="1" thickBot="1">
      <c r="A52" s="402" t="s">
        <v>750</v>
      </c>
      <c r="B52" s="403">
        <f>'Полки,Стойки (2)'!B51*2.3*($D$2/100+1)</f>
        <v>1393.8</v>
      </c>
      <c r="C52" s="648">
        <f>'Полки,Стойки (2)'!C51*2.3*($D$2/100+1)</f>
        <v>2432.2499999999995</v>
      </c>
    </row>
    <row r="53" spans="1:3" s="258" customFormat="1" ht="18.7" customHeight="1" thickBot="1">
      <c r="A53" s="626" t="s">
        <v>2824</v>
      </c>
      <c r="B53" s="888"/>
      <c r="C53" s="889"/>
    </row>
    <row r="54" spans="1:3" s="258" customFormat="1" ht="82.55" customHeight="1" thickBot="1">
      <c r="A54" s="404" t="s">
        <v>2824</v>
      </c>
      <c r="B54" s="405">
        <v>68</v>
      </c>
      <c r="C54" s="649">
        <v>86</v>
      </c>
    </row>
    <row r="55" spans="1:3" s="258" customFormat="1">
      <c r="A55" s="352"/>
      <c r="B55" s="360"/>
      <c r="C55" s="769"/>
    </row>
    <row r="56" spans="1:3" s="258" customFormat="1">
      <c r="A56" s="352"/>
      <c r="B56" s="360"/>
      <c r="C56" s="769"/>
    </row>
    <row r="57" spans="1:3" s="258" customFormat="1">
      <c r="A57" s="352"/>
      <c r="B57" s="360"/>
      <c r="C57" s="769"/>
    </row>
    <row r="58" spans="1:3" s="258" customFormat="1">
      <c r="A58" s="352"/>
      <c r="B58" s="360"/>
      <c r="C58" s="769"/>
    </row>
    <row r="59" spans="1:3" s="258" customFormat="1">
      <c r="A59" s="352"/>
      <c r="B59" s="360"/>
      <c r="C59" s="769"/>
    </row>
    <row r="60" spans="1:3" s="258" customFormat="1">
      <c r="A60" s="352"/>
      <c r="B60" s="360"/>
      <c r="C60" s="769"/>
    </row>
    <row r="61" spans="1:3" s="258" customFormat="1">
      <c r="A61" s="352"/>
      <c r="B61" s="360"/>
      <c r="C61" s="769"/>
    </row>
    <row r="62" spans="1:3" s="258" customFormat="1">
      <c r="A62" s="352"/>
      <c r="B62" s="360"/>
      <c r="C62" s="769"/>
    </row>
    <row r="63" spans="1:3" s="258" customFormat="1">
      <c r="A63" s="352"/>
      <c r="B63" s="360"/>
      <c r="C63" s="769"/>
    </row>
    <row r="64" spans="1:3" s="258" customFormat="1">
      <c r="A64" s="352"/>
      <c r="B64" s="360"/>
      <c r="C64" s="769"/>
    </row>
    <row r="65" spans="1:3" s="258" customFormat="1">
      <c r="A65" s="352"/>
      <c r="B65" s="360"/>
      <c r="C65" s="769"/>
    </row>
    <row r="66" spans="1:3" s="258" customFormat="1">
      <c r="A66" s="352"/>
      <c r="B66" s="360"/>
      <c r="C66" s="769"/>
    </row>
    <row r="67" spans="1:3" s="258" customFormat="1">
      <c r="A67" s="352"/>
      <c r="B67" s="360"/>
      <c r="C67" s="769"/>
    </row>
    <row r="68" spans="1:3" s="258" customFormat="1">
      <c r="A68" s="352"/>
      <c r="B68" s="360"/>
      <c r="C68" s="769"/>
    </row>
    <row r="69" spans="1:3" s="258" customFormat="1">
      <c r="A69" s="352"/>
      <c r="B69" s="360"/>
      <c r="C69" s="769"/>
    </row>
    <row r="70" spans="1:3" s="258" customFormat="1">
      <c r="A70" s="352"/>
      <c r="B70" s="360"/>
      <c r="C70" s="769"/>
    </row>
    <row r="71" spans="1:3" s="258" customFormat="1">
      <c r="A71" s="352"/>
      <c r="B71" s="360"/>
      <c r="C71" s="769"/>
    </row>
    <row r="72" spans="1:3" s="258" customFormat="1">
      <c r="A72" s="352"/>
      <c r="B72" s="360"/>
      <c r="C72" s="769"/>
    </row>
    <row r="73" spans="1:3" s="258" customFormat="1">
      <c r="A73" s="352"/>
      <c r="B73" s="360"/>
      <c r="C73" s="769"/>
    </row>
    <row r="74" spans="1:3" s="258" customFormat="1">
      <c r="A74" s="352"/>
      <c r="B74" s="360"/>
      <c r="C74" s="769"/>
    </row>
    <row r="75" spans="1:3" s="258" customFormat="1">
      <c r="A75" s="352"/>
      <c r="B75" s="360"/>
      <c r="C75" s="769"/>
    </row>
    <row r="76" spans="1:3" s="258" customFormat="1">
      <c r="A76" s="352"/>
      <c r="B76" s="360"/>
      <c r="C76" s="769"/>
    </row>
    <row r="77" spans="1:3" s="258" customFormat="1">
      <c r="A77" s="352"/>
      <c r="B77" s="360"/>
      <c r="C77" s="769"/>
    </row>
    <row r="78" spans="1:3" s="258" customFormat="1">
      <c r="A78" s="352"/>
      <c r="B78" s="360"/>
      <c r="C78" s="769"/>
    </row>
    <row r="79" spans="1:3" s="258" customFormat="1">
      <c r="A79" s="352"/>
      <c r="B79" s="360"/>
      <c r="C79" s="769"/>
    </row>
    <row r="80" spans="1:3" s="258" customFormat="1">
      <c r="A80" s="352"/>
      <c r="B80" s="360"/>
      <c r="C80" s="769"/>
    </row>
    <row r="81" spans="1:3" s="258" customFormat="1">
      <c r="A81" s="352"/>
      <c r="B81" s="360"/>
      <c r="C81" s="769"/>
    </row>
    <row r="82" spans="1:3" s="258" customFormat="1">
      <c r="A82" s="352"/>
      <c r="B82" s="360"/>
      <c r="C82" s="769"/>
    </row>
    <row r="83" spans="1:3" s="258" customFormat="1">
      <c r="A83" s="352"/>
      <c r="B83" s="360"/>
      <c r="C83" s="769"/>
    </row>
    <row r="84" spans="1:3" s="258" customFormat="1">
      <c r="A84" s="352"/>
      <c r="B84" s="360"/>
      <c r="C84" s="769"/>
    </row>
    <row r="85" spans="1:3" s="258" customFormat="1">
      <c r="A85" s="352"/>
      <c r="B85" s="360"/>
      <c r="C85" s="769"/>
    </row>
    <row r="86" spans="1:3" s="258" customFormat="1">
      <c r="A86" s="352"/>
      <c r="B86" s="360"/>
      <c r="C86" s="769"/>
    </row>
    <row r="87" spans="1:3" s="258" customFormat="1">
      <c r="A87" s="352"/>
      <c r="B87" s="360"/>
      <c r="C87" s="769"/>
    </row>
    <row r="88" spans="1:3" s="258" customFormat="1">
      <c r="A88" s="352"/>
      <c r="B88" s="360"/>
      <c r="C88" s="769"/>
    </row>
    <row r="89" spans="1:3" s="258" customFormat="1">
      <c r="A89" s="352"/>
      <c r="B89" s="360"/>
      <c r="C89" s="769"/>
    </row>
    <row r="90" spans="1:3" s="258" customFormat="1">
      <c r="A90" s="352"/>
      <c r="B90" s="360"/>
      <c r="C90" s="769"/>
    </row>
    <row r="91" spans="1:3" s="258" customFormat="1">
      <c r="A91" s="352"/>
      <c r="B91" s="360"/>
      <c r="C91" s="769"/>
    </row>
    <row r="92" spans="1:3" s="258" customFormat="1">
      <c r="A92" s="352"/>
      <c r="B92" s="360"/>
      <c r="C92" s="769"/>
    </row>
    <row r="93" spans="1:3" s="258" customFormat="1">
      <c r="A93" s="352"/>
      <c r="B93" s="360"/>
      <c r="C93" s="769"/>
    </row>
    <row r="94" spans="1:3" s="258" customFormat="1">
      <c r="A94" s="352"/>
      <c r="B94" s="360"/>
      <c r="C94" s="769"/>
    </row>
    <row r="95" spans="1:3" s="258" customFormat="1">
      <c r="A95" s="352"/>
      <c r="B95" s="360"/>
      <c r="C95" s="769"/>
    </row>
    <row r="96" spans="1:3" s="258" customFormat="1">
      <c r="A96" s="352"/>
      <c r="B96" s="360"/>
      <c r="C96" s="769"/>
    </row>
    <row r="97" spans="1:3" s="258" customFormat="1">
      <c r="A97" s="352"/>
      <c r="B97" s="360"/>
      <c r="C97" s="769"/>
    </row>
    <row r="98" spans="1:3" s="258" customFormat="1">
      <c r="A98" s="352"/>
      <c r="B98" s="360"/>
      <c r="C98" s="769"/>
    </row>
    <row r="99" spans="1:3" s="258" customFormat="1">
      <c r="A99" s="352"/>
      <c r="B99" s="360"/>
      <c r="C99" s="769"/>
    </row>
    <row r="100" spans="1:3" s="258" customFormat="1">
      <c r="A100" s="352"/>
      <c r="B100" s="360"/>
      <c r="C100" s="769"/>
    </row>
    <row r="101" spans="1:3" s="258" customFormat="1">
      <c r="A101" s="352"/>
      <c r="B101" s="360"/>
      <c r="C101" s="769"/>
    </row>
    <row r="102" spans="1:3" s="258" customFormat="1">
      <c r="A102" s="352"/>
      <c r="B102" s="360"/>
      <c r="C102" s="769"/>
    </row>
    <row r="103" spans="1:3" s="258" customFormat="1">
      <c r="A103" s="352"/>
      <c r="B103" s="360"/>
      <c r="C103" s="769"/>
    </row>
    <row r="104" spans="1:3" s="258" customFormat="1">
      <c r="A104" s="352"/>
      <c r="B104" s="360"/>
      <c r="C104" s="769"/>
    </row>
    <row r="105" spans="1:3" s="258" customFormat="1">
      <c r="A105" s="352"/>
      <c r="B105" s="360"/>
      <c r="C105" s="769"/>
    </row>
    <row r="106" spans="1:3" s="258" customFormat="1">
      <c r="A106" s="352"/>
      <c r="B106" s="360"/>
      <c r="C106" s="769"/>
    </row>
    <row r="107" spans="1:3" s="258" customFormat="1">
      <c r="A107" s="352"/>
      <c r="B107" s="360"/>
      <c r="C107" s="769"/>
    </row>
    <row r="108" spans="1:3" s="258" customFormat="1">
      <c r="A108" s="352"/>
      <c r="B108" s="360"/>
      <c r="C108" s="769"/>
    </row>
    <row r="109" spans="1:3" s="258" customFormat="1">
      <c r="A109" s="352"/>
      <c r="B109" s="360"/>
      <c r="C109" s="769"/>
    </row>
    <row r="110" spans="1:3" s="258" customFormat="1">
      <c r="A110" s="352"/>
      <c r="B110" s="360"/>
      <c r="C110" s="769"/>
    </row>
    <row r="111" spans="1:3" s="258" customFormat="1">
      <c r="A111" s="352"/>
      <c r="B111" s="360"/>
      <c r="C111" s="769"/>
    </row>
    <row r="112" spans="1:3" s="258" customFormat="1">
      <c r="A112" s="352"/>
      <c r="B112" s="360"/>
      <c r="C112" s="769"/>
    </row>
    <row r="113" spans="1:3" s="258" customFormat="1">
      <c r="A113" s="352"/>
      <c r="B113" s="360"/>
      <c r="C113" s="769"/>
    </row>
    <row r="114" spans="1:3" s="258" customFormat="1">
      <c r="A114" s="352"/>
      <c r="B114" s="360"/>
      <c r="C114" s="769"/>
    </row>
    <row r="115" spans="1:3" s="258" customFormat="1">
      <c r="A115" s="352"/>
      <c r="B115" s="360"/>
      <c r="C115" s="769"/>
    </row>
    <row r="116" spans="1:3" s="258" customFormat="1">
      <c r="A116" s="352"/>
      <c r="B116" s="360"/>
      <c r="C116" s="769"/>
    </row>
    <row r="117" spans="1:3" s="258" customFormat="1">
      <c r="A117" s="352"/>
      <c r="B117" s="360"/>
      <c r="C117" s="769"/>
    </row>
    <row r="118" spans="1:3" s="258" customFormat="1">
      <c r="A118" s="352"/>
      <c r="B118" s="360"/>
      <c r="C118" s="769"/>
    </row>
    <row r="119" spans="1:3" s="258" customFormat="1">
      <c r="A119" s="352"/>
      <c r="B119" s="360"/>
      <c r="C119" s="769"/>
    </row>
    <row r="120" spans="1:3" s="258" customFormat="1">
      <c r="A120" s="352"/>
      <c r="B120" s="360"/>
      <c r="C120" s="769"/>
    </row>
    <row r="121" spans="1:3" s="258" customFormat="1">
      <c r="A121" s="352"/>
      <c r="B121" s="360"/>
      <c r="C121" s="769"/>
    </row>
    <row r="122" spans="1:3" s="258" customFormat="1">
      <c r="A122" s="352"/>
      <c r="B122" s="360"/>
      <c r="C122" s="769"/>
    </row>
    <row r="123" spans="1:3" s="258" customFormat="1">
      <c r="A123" s="352"/>
      <c r="B123" s="360"/>
      <c r="C123" s="769"/>
    </row>
    <row r="124" spans="1:3" s="258" customFormat="1">
      <c r="A124" s="352"/>
      <c r="B124" s="360"/>
      <c r="C124" s="769"/>
    </row>
    <row r="125" spans="1:3" s="258" customFormat="1">
      <c r="A125" s="352"/>
      <c r="B125" s="360"/>
      <c r="C125" s="769"/>
    </row>
    <row r="126" spans="1:3" s="258" customFormat="1">
      <c r="A126" s="352"/>
      <c r="B126" s="360"/>
      <c r="C126" s="769"/>
    </row>
    <row r="127" spans="1:3" s="258" customFormat="1">
      <c r="A127" s="352"/>
      <c r="B127" s="360"/>
      <c r="C127" s="769"/>
    </row>
    <row r="128" spans="1:3" s="258" customFormat="1">
      <c r="A128" s="352"/>
      <c r="B128" s="360"/>
      <c r="C128" s="769"/>
    </row>
    <row r="129" spans="1:3" s="258" customFormat="1">
      <c r="A129" s="352"/>
      <c r="B129" s="360"/>
      <c r="C129" s="769"/>
    </row>
    <row r="130" spans="1:3" s="258" customFormat="1">
      <c r="A130" s="352"/>
      <c r="B130" s="360"/>
      <c r="C130" s="769"/>
    </row>
    <row r="131" spans="1:3" s="258" customFormat="1">
      <c r="A131" s="352"/>
      <c r="B131" s="360"/>
      <c r="C131" s="769"/>
    </row>
    <row r="132" spans="1:3" s="258" customFormat="1">
      <c r="A132" s="352"/>
      <c r="B132" s="360"/>
      <c r="C132" s="769"/>
    </row>
    <row r="133" spans="1:3" s="258" customFormat="1">
      <c r="A133" s="352"/>
      <c r="B133" s="360"/>
      <c r="C133" s="769"/>
    </row>
    <row r="134" spans="1:3" s="258" customFormat="1">
      <c r="A134" s="352"/>
      <c r="B134" s="360"/>
      <c r="C134" s="769"/>
    </row>
    <row r="135" spans="1:3" s="258" customFormat="1">
      <c r="A135" s="352"/>
      <c r="B135" s="360"/>
      <c r="C135" s="769"/>
    </row>
    <row r="136" spans="1:3" s="258" customFormat="1">
      <c r="A136" s="352"/>
      <c r="B136" s="360"/>
      <c r="C136" s="769"/>
    </row>
    <row r="137" spans="1:3" s="258" customFormat="1">
      <c r="A137" s="352"/>
      <c r="B137" s="360"/>
      <c r="C137" s="769"/>
    </row>
    <row r="138" spans="1:3" s="258" customFormat="1">
      <c r="A138" s="352"/>
      <c r="B138" s="360"/>
      <c r="C138" s="769"/>
    </row>
    <row r="139" spans="1:3" s="258" customFormat="1">
      <c r="A139" s="352"/>
      <c r="B139" s="360"/>
      <c r="C139" s="769"/>
    </row>
    <row r="140" spans="1:3" s="258" customFormat="1">
      <c r="A140" s="352"/>
      <c r="B140" s="360"/>
      <c r="C140" s="769"/>
    </row>
    <row r="141" spans="1:3" s="258" customFormat="1">
      <c r="A141" s="352"/>
      <c r="B141" s="360"/>
      <c r="C141" s="769"/>
    </row>
    <row r="142" spans="1:3" s="258" customFormat="1">
      <c r="A142" s="352"/>
      <c r="B142" s="360"/>
      <c r="C142" s="769"/>
    </row>
    <row r="143" spans="1:3" s="258" customFormat="1">
      <c r="A143" s="352"/>
      <c r="B143" s="360"/>
      <c r="C143" s="769"/>
    </row>
    <row r="144" spans="1:3" s="258" customFormat="1">
      <c r="A144" s="352"/>
      <c r="B144" s="360"/>
      <c r="C144" s="769"/>
    </row>
    <row r="145" spans="1:3" s="258" customFormat="1">
      <c r="A145" s="352"/>
      <c r="B145" s="360"/>
      <c r="C145" s="769"/>
    </row>
    <row r="146" spans="1:3" s="258" customFormat="1">
      <c r="A146" s="352"/>
      <c r="B146" s="360"/>
      <c r="C146" s="769"/>
    </row>
    <row r="147" spans="1:3" s="258" customFormat="1">
      <c r="A147" s="352"/>
      <c r="B147" s="360"/>
      <c r="C147" s="769"/>
    </row>
    <row r="148" spans="1:3" s="258" customFormat="1">
      <c r="A148" s="352"/>
      <c r="B148" s="360"/>
      <c r="C148" s="769"/>
    </row>
    <row r="149" spans="1:3" s="258" customFormat="1">
      <c r="A149" s="352"/>
      <c r="B149" s="360"/>
      <c r="C149" s="769"/>
    </row>
    <row r="150" spans="1:3" s="258" customFormat="1">
      <c r="A150" s="352"/>
      <c r="B150" s="360"/>
      <c r="C150" s="769"/>
    </row>
    <row r="151" spans="1:3" s="258" customFormat="1">
      <c r="A151" s="352"/>
      <c r="B151" s="360"/>
      <c r="C151" s="769"/>
    </row>
    <row r="152" spans="1:3" s="258" customFormat="1">
      <c r="A152" s="352"/>
      <c r="B152" s="360"/>
      <c r="C152" s="769"/>
    </row>
    <row r="153" spans="1:3" s="258" customFormat="1">
      <c r="A153" s="352"/>
      <c r="B153" s="360"/>
      <c r="C153" s="769"/>
    </row>
    <row r="154" spans="1:3" s="258" customFormat="1">
      <c r="A154" s="352"/>
      <c r="B154" s="360"/>
      <c r="C154" s="769"/>
    </row>
    <row r="155" spans="1:3" s="258" customFormat="1">
      <c r="A155" s="352"/>
      <c r="B155" s="360"/>
      <c r="C155" s="769"/>
    </row>
    <row r="156" spans="1:3" s="258" customFormat="1">
      <c r="A156" s="352"/>
      <c r="B156" s="360"/>
      <c r="C156" s="769"/>
    </row>
    <row r="157" spans="1:3" s="258" customFormat="1">
      <c r="A157" s="352"/>
      <c r="B157" s="360"/>
      <c r="C157" s="769"/>
    </row>
    <row r="158" spans="1:3" s="258" customFormat="1">
      <c r="A158" s="352"/>
      <c r="B158" s="360"/>
      <c r="C158" s="769"/>
    </row>
    <row r="159" spans="1:3" s="258" customFormat="1">
      <c r="A159" s="352"/>
      <c r="B159" s="360"/>
      <c r="C159" s="769"/>
    </row>
    <row r="160" spans="1:3" s="258" customFormat="1">
      <c r="A160" s="352"/>
      <c r="B160" s="360"/>
      <c r="C160" s="769"/>
    </row>
    <row r="161" spans="1:3" s="258" customFormat="1">
      <c r="A161" s="352"/>
      <c r="B161" s="360"/>
      <c r="C161" s="769"/>
    </row>
    <row r="162" spans="1:3" s="258" customFormat="1">
      <c r="A162" s="352"/>
      <c r="B162" s="360"/>
      <c r="C162" s="769"/>
    </row>
    <row r="163" spans="1:3" s="258" customFormat="1">
      <c r="A163" s="352"/>
      <c r="B163" s="360"/>
      <c r="C163" s="769"/>
    </row>
    <row r="164" spans="1:3" s="258" customFormat="1">
      <c r="A164" s="352"/>
      <c r="B164" s="360"/>
      <c r="C164" s="769"/>
    </row>
    <row r="165" spans="1:3" s="258" customFormat="1">
      <c r="A165" s="352"/>
      <c r="B165" s="360"/>
      <c r="C165" s="769"/>
    </row>
    <row r="166" spans="1:3" s="258" customFormat="1">
      <c r="A166" s="352"/>
      <c r="B166" s="360"/>
      <c r="C166" s="769"/>
    </row>
    <row r="167" spans="1:3" s="258" customFormat="1">
      <c r="A167" s="352"/>
      <c r="B167" s="360"/>
      <c r="C167" s="769"/>
    </row>
    <row r="168" spans="1:3" s="258" customFormat="1">
      <c r="A168" s="352"/>
      <c r="B168" s="360"/>
      <c r="C168" s="769"/>
    </row>
    <row r="169" spans="1:3" s="258" customFormat="1">
      <c r="A169" s="352"/>
      <c r="B169" s="360"/>
      <c r="C169" s="769"/>
    </row>
    <row r="170" spans="1:3" s="258" customFormat="1">
      <c r="A170" s="352"/>
      <c r="B170" s="360"/>
      <c r="C170" s="769"/>
    </row>
    <row r="171" spans="1:3" s="258" customFormat="1">
      <c r="A171" s="352"/>
      <c r="B171" s="360"/>
      <c r="C171" s="769"/>
    </row>
    <row r="172" spans="1:3" s="258" customFormat="1">
      <c r="A172" s="352"/>
      <c r="B172" s="360"/>
      <c r="C172" s="769"/>
    </row>
    <row r="173" spans="1:3" s="258" customFormat="1">
      <c r="A173" s="352"/>
      <c r="B173" s="360"/>
      <c r="C173" s="769"/>
    </row>
    <row r="174" spans="1:3" s="258" customFormat="1">
      <c r="A174" s="352"/>
      <c r="B174" s="360"/>
      <c r="C174" s="769"/>
    </row>
    <row r="175" spans="1:3" s="258" customFormat="1">
      <c r="A175" s="352"/>
      <c r="B175" s="360"/>
      <c r="C175" s="769"/>
    </row>
    <row r="176" spans="1:3" s="258" customFormat="1">
      <c r="A176" s="352"/>
      <c r="B176" s="360"/>
      <c r="C176" s="769"/>
    </row>
    <row r="177" spans="1:3" s="258" customFormat="1">
      <c r="A177" s="352"/>
      <c r="B177" s="360"/>
      <c r="C177" s="769"/>
    </row>
    <row r="178" spans="1:3" s="258" customFormat="1">
      <c r="A178" s="352"/>
      <c r="B178" s="360"/>
      <c r="C178" s="769"/>
    </row>
    <row r="179" spans="1:3" s="258" customFormat="1">
      <c r="A179" s="352"/>
      <c r="B179" s="360"/>
      <c r="C179" s="769"/>
    </row>
    <row r="180" spans="1:3" s="258" customFormat="1">
      <c r="A180" s="352"/>
      <c r="B180" s="360"/>
      <c r="C180" s="769"/>
    </row>
    <row r="181" spans="1:3" s="258" customFormat="1">
      <c r="A181" s="352"/>
      <c r="B181" s="360"/>
      <c r="C181" s="769"/>
    </row>
    <row r="182" spans="1:3" s="258" customFormat="1">
      <c r="A182" s="352"/>
      <c r="B182" s="360"/>
      <c r="C182" s="769"/>
    </row>
    <row r="183" spans="1:3" s="258" customFormat="1">
      <c r="A183" s="352"/>
      <c r="B183" s="360"/>
      <c r="C183" s="769"/>
    </row>
    <row r="184" spans="1:3" s="258" customFormat="1">
      <c r="A184" s="352"/>
      <c r="B184" s="360"/>
      <c r="C184" s="769"/>
    </row>
    <row r="185" spans="1:3" s="258" customFormat="1">
      <c r="A185" s="352"/>
      <c r="B185" s="360"/>
      <c r="C185" s="769"/>
    </row>
    <row r="186" spans="1:3" s="258" customFormat="1">
      <c r="A186" s="352"/>
      <c r="B186" s="360"/>
      <c r="C186" s="769"/>
    </row>
    <row r="187" spans="1:3" s="258" customFormat="1">
      <c r="A187" s="352"/>
      <c r="B187" s="360"/>
      <c r="C187" s="769"/>
    </row>
    <row r="188" spans="1:3" s="258" customFormat="1">
      <c r="A188" s="352"/>
      <c r="B188" s="360"/>
      <c r="C188" s="769"/>
    </row>
    <row r="189" spans="1:3" s="258" customFormat="1">
      <c r="A189" s="352"/>
      <c r="B189" s="360"/>
      <c r="C189" s="769"/>
    </row>
    <row r="190" spans="1:3" s="258" customFormat="1">
      <c r="A190" s="352"/>
      <c r="B190" s="360"/>
      <c r="C190" s="769"/>
    </row>
    <row r="191" spans="1:3" s="258" customFormat="1">
      <c r="A191" s="352"/>
      <c r="B191" s="360"/>
      <c r="C191" s="769"/>
    </row>
    <row r="192" spans="1:3" s="258" customFormat="1">
      <c r="A192" s="352"/>
      <c r="B192" s="360"/>
      <c r="C192" s="769"/>
    </row>
    <row r="193" spans="1:3" s="258" customFormat="1">
      <c r="A193" s="352"/>
      <c r="B193" s="360"/>
      <c r="C193" s="769"/>
    </row>
    <row r="194" spans="1:3" s="258" customFormat="1">
      <c r="A194" s="352"/>
      <c r="B194" s="360"/>
      <c r="C194" s="769"/>
    </row>
    <row r="195" spans="1:3" s="258" customFormat="1">
      <c r="A195" s="352"/>
      <c r="B195" s="360"/>
      <c r="C195" s="769"/>
    </row>
    <row r="196" spans="1:3" s="258" customFormat="1">
      <c r="A196" s="352"/>
      <c r="B196" s="360"/>
      <c r="C196" s="650"/>
    </row>
    <row r="197" spans="1:3" s="258" customFormat="1">
      <c r="A197" s="352"/>
      <c r="B197" s="360"/>
      <c r="C197" s="650"/>
    </row>
    <row r="198" spans="1:3" s="258" customFormat="1">
      <c r="A198" s="352"/>
      <c r="B198" s="360"/>
      <c r="C198" s="650"/>
    </row>
    <row r="199" spans="1:3" s="258" customFormat="1">
      <c r="A199" s="352"/>
      <c r="B199" s="360"/>
      <c r="C199" s="650"/>
    </row>
    <row r="200" spans="1:3" s="258" customFormat="1">
      <c r="A200" s="352"/>
      <c r="B200" s="360"/>
      <c r="C200" s="650"/>
    </row>
    <row r="201" spans="1:3" s="258" customFormat="1">
      <c r="A201" s="352"/>
      <c r="B201" s="360"/>
      <c r="C201" s="650"/>
    </row>
    <row r="202" spans="1:3" s="258" customFormat="1">
      <c r="A202" s="352"/>
      <c r="B202" s="360"/>
      <c r="C202" s="650"/>
    </row>
    <row r="203" spans="1:3" s="258" customFormat="1">
      <c r="A203" s="352"/>
      <c r="B203" s="360"/>
      <c r="C203" s="650"/>
    </row>
    <row r="204" spans="1:3" s="258" customFormat="1">
      <c r="A204" s="352"/>
      <c r="B204" s="360"/>
      <c r="C204" s="650"/>
    </row>
    <row r="205" spans="1:3" s="258" customFormat="1">
      <c r="A205" s="352"/>
      <c r="B205" s="360"/>
      <c r="C205" s="650"/>
    </row>
  </sheetData>
  <sheetProtection formatCells="0" formatColumns="0" formatRows="0" insertColumns="0" insertRows="0" insertHyperlinks="0" deleteColumns="0" deleteRows="0" sort="0" autoFilter="0" pivotTables="0"/>
  <mergeCells count="15">
    <mergeCell ref="F1:H2"/>
    <mergeCell ref="B53:C53"/>
    <mergeCell ref="B47:C47"/>
    <mergeCell ref="B49:C49"/>
    <mergeCell ref="B51:C51"/>
    <mergeCell ref="B10:C10"/>
    <mergeCell ref="B17:C17"/>
    <mergeCell ref="B23:C23"/>
    <mergeCell ref="B29:C29"/>
    <mergeCell ref="B38:C38"/>
    <mergeCell ref="A1:A2"/>
    <mergeCell ref="B1:B2"/>
    <mergeCell ref="C1:C2"/>
    <mergeCell ref="E1:E2"/>
    <mergeCell ref="B3:C3"/>
  </mergeCells>
  <hyperlinks>
    <hyperlink ref="E1" location="ГЛАВНАЯ!A1" display="На главную" xr:uid="{00000000-0004-0000-0B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9"/>
  <dimension ref="A1:H51"/>
  <sheetViews>
    <sheetView zoomScale="115" zoomScaleNormal="115" workbookViewId="0">
      <pane xSplit="3" ySplit="1" topLeftCell="D35" activePane="bottomRight" state="frozen"/>
      <selection pane="topRight" activeCell="D1" sqref="D1"/>
      <selection pane="bottomLeft" activeCell="A4" sqref="A4"/>
      <selection pane="bottomRight" activeCell="F55" sqref="F55"/>
    </sheetView>
  </sheetViews>
  <sheetFormatPr defaultRowHeight="14.3"/>
  <cols>
    <col min="1" max="1" width="37.75" bestFit="1" customWidth="1"/>
    <col min="2" max="2" width="6.125" style="5" bestFit="1" customWidth="1"/>
    <col min="3" max="3" width="6" style="3" bestFit="1" customWidth="1"/>
    <col min="4" max="4" width="11" customWidth="1"/>
    <col min="7" max="7" width="6.875" customWidth="1"/>
  </cols>
  <sheetData>
    <row r="1" spans="1:8" ht="16.5" customHeight="1">
      <c r="A1" s="118" t="s">
        <v>2</v>
      </c>
      <c r="B1" s="118" t="s">
        <v>1186</v>
      </c>
      <c r="C1" s="129" t="s">
        <v>1185</v>
      </c>
      <c r="D1" s="127"/>
      <c r="E1" s="128"/>
      <c r="F1" s="128"/>
      <c r="G1" s="128"/>
      <c r="H1" s="32"/>
    </row>
    <row r="2" spans="1:8" ht="17.350000000000001" customHeight="1">
      <c r="A2" s="11" t="s">
        <v>13</v>
      </c>
      <c r="B2" s="71"/>
      <c r="C2" s="72"/>
    </row>
    <row r="3" spans="1:8" ht="14.95" customHeight="1">
      <c r="A3" s="115" t="s">
        <v>1170</v>
      </c>
      <c r="B3" s="82">
        <f>48*'Цены на металл '!B11</f>
        <v>49.44</v>
      </c>
      <c r="C3" s="70">
        <f>67*'Цены на металл '!C11</f>
        <v>67</v>
      </c>
    </row>
    <row r="4" spans="1:8" ht="14.95" customHeight="1">
      <c r="A4" s="115" t="s">
        <v>1171</v>
      </c>
      <c r="B4" s="82">
        <f>72*'Цены на металл '!B11</f>
        <v>74.16</v>
      </c>
      <c r="C4" s="70">
        <f>102*'Цены на металл '!C11</f>
        <v>102</v>
      </c>
    </row>
    <row r="5" spans="1:8" ht="14.95" customHeight="1">
      <c r="A5" s="115" t="s">
        <v>1172</v>
      </c>
      <c r="B5" s="82">
        <f>94*'Цены на металл '!B11</f>
        <v>96.820000000000007</v>
      </c>
      <c r="C5" s="70">
        <f>134*'Цены на металл '!C11</f>
        <v>134</v>
      </c>
    </row>
    <row r="6" spans="1:8" ht="14.95" customHeight="1">
      <c r="A6" s="115" t="s">
        <v>1173</v>
      </c>
      <c r="B6" s="82">
        <f>143*'Цены на металл '!B11</f>
        <v>147.29</v>
      </c>
      <c r="C6" s="70">
        <f>201*'Цены на металл '!C11</f>
        <v>201</v>
      </c>
    </row>
    <row r="7" spans="1:8" ht="14.95" customHeight="1">
      <c r="A7" s="115" t="s">
        <v>1174</v>
      </c>
      <c r="B7" s="82">
        <f>212*'Цены на металл '!B11</f>
        <v>218.36</v>
      </c>
      <c r="C7" s="70">
        <f>298*'Цены на металл '!C11</f>
        <v>298</v>
      </c>
    </row>
    <row r="8" spans="1:8" ht="14.95" customHeight="1">
      <c r="A8" s="115" t="s">
        <v>1175</v>
      </c>
      <c r="B8" s="82">
        <f>259*'Цены на металл '!B11</f>
        <v>266.77</v>
      </c>
      <c r="C8" s="70">
        <f>354*'Цены на металл '!C11</f>
        <v>354</v>
      </c>
    </row>
    <row r="9" spans="1:8" ht="14.95" customHeight="1">
      <c r="A9" s="11" t="s">
        <v>746</v>
      </c>
      <c r="B9" s="73"/>
      <c r="C9" s="74"/>
    </row>
    <row r="10" spans="1:8" ht="14.95" customHeight="1">
      <c r="A10" s="115" t="s">
        <v>1170</v>
      </c>
      <c r="B10" s="82">
        <f>58*'Цены на металл '!B11</f>
        <v>59.74</v>
      </c>
      <c r="C10" s="70">
        <f>82*'Цены на металл '!C11</f>
        <v>82</v>
      </c>
    </row>
    <row r="11" spans="1:8" ht="14.95" customHeight="1">
      <c r="A11" s="115" t="s">
        <v>1171</v>
      </c>
      <c r="B11" s="82">
        <f>87*'Цены на металл '!B11</f>
        <v>89.61</v>
      </c>
      <c r="C11" s="70">
        <f>124*'Цены на металл '!C11</f>
        <v>124</v>
      </c>
    </row>
    <row r="12" spans="1:8" ht="14.95" customHeight="1">
      <c r="A12" s="115" t="s">
        <v>1172</v>
      </c>
      <c r="B12" s="82">
        <f>114*'Цены на металл '!B11</f>
        <v>117.42</v>
      </c>
      <c r="C12" s="70">
        <f>164*'Цены на металл '!C11</f>
        <v>164</v>
      </c>
    </row>
    <row r="13" spans="1:8" ht="14.95" customHeight="1">
      <c r="A13" s="115" t="s">
        <v>1176</v>
      </c>
      <c r="B13" s="82">
        <f>172*'Цены на металл '!B11</f>
        <v>177.16</v>
      </c>
      <c r="C13" s="70">
        <f>245*'Цены на металл '!C11</f>
        <v>245</v>
      </c>
    </row>
    <row r="14" spans="1:8" ht="14.95" customHeight="1">
      <c r="A14" s="115" t="s">
        <v>1174</v>
      </c>
      <c r="B14" s="82">
        <f>257*'Цены на металл '!B11</f>
        <v>264.70999999999998</v>
      </c>
      <c r="C14" s="70">
        <f>366*'Цены на металл '!C11</f>
        <v>366</v>
      </c>
    </row>
    <row r="15" spans="1:8" ht="14.95" customHeight="1">
      <c r="A15" s="115" t="s">
        <v>1175</v>
      </c>
      <c r="B15" s="82">
        <f>306*'Цены на металл '!B11</f>
        <v>315.18</v>
      </c>
      <c r="C15" s="70">
        <f>440*'Цены на металл '!C11</f>
        <v>440</v>
      </c>
    </row>
    <row r="16" spans="1:8" ht="14.95" customHeight="1">
      <c r="A16" s="79" t="s">
        <v>747</v>
      </c>
      <c r="B16" s="76"/>
      <c r="C16" s="74"/>
    </row>
    <row r="17" spans="1:3">
      <c r="A17" s="115" t="s">
        <v>1177</v>
      </c>
      <c r="B17" s="83">
        <f>15*'Цены на металл '!B11</f>
        <v>15.450000000000001</v>
      </c>
      <c r="C17" s="70">
        <f>22*'Цены на металл '!C11</f>
        <v>22</v>
      </c>
    </row>
    <row r="18" spans="1:3">
      <c r="A18" s="115" t="s">
        <v>1178</v>
      </c>
      <c r="B18" s="83">
        <f>22*'Цены на металл '!B11</f>
        <v>22.66</v>
      </c>
      <c r="C18" s="70">
        <f>30*'Цены на металл '!C11</f>
        <v>30</v>
      </c>
    </row>
    <row r="19" spans="1:3">
      <c r="A19" s="115" t="s">
        <v>1179</v>
      </c>
      <c r="B19" s="83">
        <f>35*'Цены на металл '!B11</f>
        <v>36.050000000000004</v>
      </c>
      <c r="C19" s="70">
        <f>46*'Цены на металл '!C11</f>
        <v>46</v>
      </c>
    </row>
    <row r="20" spans="1:3">
      <c r="A20" s="115" t="s">
        <v>1180</v>
      </c>
      <c r="B20" s="83">
        <f>44*'Цены на металл '!B11</f>
        <v>45.32</v>
      </c>
      <c r="C20" s="70">
        <f>61*'Цены на металл '!C11</f>
        <v>61</v>
      </c>
    </row>
    <row r="21" spans="1:3">
      <c r="A21" s="115" t="s">
        <v>1181</v>
      </c>
      <c r="B21" s="82">
        <f>72*'Цены на металл '!B11</f>
        <v>74.16</v>
      </c>
      <c r="C21" s="81">
        <f>83*'Цены на металл '!C11</f>
        <v>83</v>
      </c>
    </row>
    <row r="22" spans="1:3" ht="19.05">
      <c r="A22" s="79" t="s">
        <v>0</v>
      </c>
      <c r="B22" s="76"/>
      <c r="C22" s="71"/>
    </row>
    <row r="23" spans="1:3">
      <c r="A23" s="115" t="s">
        <v>1177</v>
      </c>
      <c r="B23" s="83">
        <f>19*'Цены на металл '!B11</f>
        <v>19.57</v>
      </c>
      <c r="C23" s="70">
        <f>24*'Цены на металл '!C11</f>
        <v>24</v>
      </c>
    </row>
    <row r="24" spans="1:3">
      <c r="A24" s="115" t="s">
        <v>1178</v>
      </c>
      <c r="B24" s="83">
        <f>30*'Цены на металл '!B11</f>
        <v>30.900000000000002</v>
      </c>
      <c r="C24" s="70">
        <f>39*'Цены на металл '!C11</f>
        <v>39</v>
      </c>
    </row>
    <row r="25" spans="1:3">
      <c r="A25" s="115" t="s">
        <v>1179</v>
      </c>
      <c r="B25" s="83">
        <f>41*'Цены на металл '!B11</f>
        <v>42.230000000000004</v>
      </c>
      <c r="C25" s="70">
        <f>60*'Цены на металл '!C11</f>
        <v>60</v>
      </c>
    </row>
    <row r="26" spans="1:3">
      <c r="A26" s="115" t="s">
        <v>1180</v>
      </c>
      <c r="B26" s="83">
        <f>58*'Цены на металл '!B11</f>
        <v>59.74</v>
      </c>
      <c r="C26" s="70">
        <f>77*'Цены на металл '!C11</f>
        <v>77</v>
      </c>
    </row>
    <row r="27" spans="1:3">
      <c r="A27" s="115" t="s">
        <v>1182</v>
      </c>
      <c r="B27" s="83">
        <f>96*'Цены на металл '!B11</f>
        <v>98.88</v>
      </c>
      <c r="C27" s="70">
        <f>115*'Цены на металл '!C11</f>
        <v>115</v>
      </c>
    </row>
    <row r="28" spans="1:3" ht="19.05">
      <c r="A28" s="112" t="s">
        <v>751</v>
      </c>
      <c r="B28" s="113"/>
      <c r="C28" s="113"/>
    </row>
    <row r="29" spans="1:3">
      <c r="A29" s="54" t="s">
        <v>752</v>
      </c>
      <c r="B29" s="83">
        <f>114*'Цены на металл '!B11</f>
        <v>117.42</v>
      </c>
      <c r="C29" s="70">
        <f>163*'Цены на металл '!C11</f>
        <v>163</v>
      </c>
    </row>
    <row r="30" spans="1:3">
      <c r="A30" s="54" t="s">
        <v>753</v>
      </c>
      <c r="B30" s="83">
        <f>136*'Цены на металл '!B11</f>
        <v>140.08000000000001</v>
      </c>
      <c r="C30" s="70">
        <f>178*'Цены на металл '!C11</f>
        <v>178</v>
      </c>
    </row>
    <row r="31" spans="1:3">
      <c r="A31" s="54" t="s">
        <v>759</v>
      </c>
      <c r="B31" s="83">
        <f>146*'Цены на металл '!B11</f>
        <v>150.38</v>
      </c>
      <c r="C31" s="70">
        <f>189*'Цены на металл '!C11</f>
        <v>189</v>
      </c>
    </row>
    <row r="32" spans="1:3">
      <c r="A32" s="54" t="s">
        <v>754</v>
      </c>
      <c r="B32" s="83">
        <f>161*'Цены на металл '!B11</f>
        <v>165.83</v>
      </c>
      <c r="C32" s="70">
        <f>210*'Цены на металл '!C11</f>
        <v>210</v>
      </c>
    </row>
    <row r="33" spans="1:3">
      <c r="A33" s="54" t="s">
        <v>755</v>
      </c>
      <c r="B33" s="83">
        <f>223*'Цены на металл '!B11</f>
        <v>229.69</v>
      </c>
      <c r="C33" s="70">
        <f>286*'Цены на металл '!C11</f>
        <v>286</v>
      </c>
    </row>
    <row r="34" spans="1:3">
      <c r="A34" s="54" t="s">
        <v>756</v>
      </c>
      <c r="B34" s="83">
        <f>236*'Цены на металл '!B11</f>
        <v>243.08</v>
      </c>
      <c r="C34" s="70">
        <f>311*'Цены на металл '!C11</f>
        <v>311</v>
      </c>
    </row>
    <row r="35" spans="1:3">
      <c r="A35" s="54" t="s">
        <v>757</v>
      </c>
      <c r="B35" s="83">
        <f>283*'Цены на металл '!B11</f>
        <v>291.49</v>
      </c>
      <c r="C35" s="70">
        <f>333*'Цены на металл '!C11</f>
        <v>333</v>
      </c>
    </row>
    <row r="36" spans="1:3">
      <c r="A36" s="54" t="s">
        <v>758</v>
      </c>
      <c r="B36" s="83">
        <f>429*'Цены на металл '!B11</f>
        <v>441.87</v>
      </c>
      <c r="C36" s="70">
        <f>517*'Цены на металл '!C11</f>
        <v>517</v>
      </c>
    </row>
    <row r="37" spans="1:3" ht="19.05">
      <c r="A37" s="112" t="s">
        <v>760</v>
      </c>
      <c r="B37" s="113"/>
      <c r="C37" s="113"/>
    </row>
    <row r="38" spans="1:3" ht="16.3">
      <c r="A38" s="54" t="s">
        <v>752</v>
      </c>
      <c r="B38" s="85">
        <f>137*'Цены на металл '!B11</f>
        <v>141.11000000000001</v>
      </c>
      <c r="C38" s="84">
        <f>184*'Цены на металл '!C11</f>
        <v>184</v>
      </c>
    </row>
    <row r="39" spans="1:3" ht="16.3">
      <c r="A39" s="54" t="s">
        <v>753</v>
      </c>
      <c r="B39" s="85">
        <f>161*'Цены на металл '!B11</f>
        <v>165.83</v>
      </c>
      <c r="C39" s="84">
        <f>201*'Цены на металл '!C11</f>
        <v>201</v>
      </c>
    </row>
    <row r="40" spans="1:3" ht="16.3">
      <c r="A40" s="54" t="s">
        <v>759</v>
      </c>
      <c r="B40" s="85">
        <f>171*'Цены на металл '!B11</f>
        <v>176.13</v>
      </c>
      <c r="C40" s="84">
        <f>278*'Цены на металл '!C11</f>
        <v>278</v>
      </c>
    </row>
    <row r="41" spans="1:3" ht="16.3">
      <c r="A41" s="54" t="s">
        <v>754</v>
      </c>
      <c r="B41" s="85">
        <f>195*'Цены на металл '!B11</f>
        <v>200.85</v>
      </c>
      <c r="C41" s="84">
        <f>260*'Цены на металл '!C11</f>
        <v>260</v>
      </c>
    </row>
    <row r="42" spans="1:3" ht="16.3">
      <c r="A42" s="54" t="s">
        <v>755</v>
      </c>
      <c r="B42" s="85">
        <f>255*'Цены на металл '!B11</f>
        <v>262.65000000000003</v>
      </c>
      <c r="C42" s="70">
        <f>343*'Цены на металл '!C11</f>
        <v>343</v>
      </c>
    </row>
    <row r="43" spans="1:3" ht="16.3">
      <c r="A43" s="54" t="s">
        <v>756</v>
      </c>
      <c r="B43" s="85">
        <f>290*'Цены на металл '!B11</f>
        <v>298.7</v>
      </c>
      <c r="C43" s="84">
        <f>387*'Цены на металл '!C11</f>
        <v>387</v>
      </c>
    </row>
    <row r="44" spans="1:3" ht="16.3">
      <c r="A44" s="54" t="s">
        <v>757</v>
      </c>
      <c r="B44" s="85">
        <f>333*'Цены на металл '!B11</f>
        <v>342.99</v>
      </c>
      <c r="C44" s="84">
        <f>437*'Цены на металл '!C11</f>
        <v>437</v>
      </c>
    </row>
    <row r="45" spans="1:3" ht="16.3">
      <c r="A45" s="54" t="s">
        <v>758</v>
      </c>
      <c r="B45" s="85">
        <f>517*'Цены на металл '!B11</f>
        <v>532.51</v>
      </c>
      <c r="C45" s="84">
        <f>684*'Цены на металл '!C11</f>
        <v>684</v>
      </c>
    </row>
    <row r="46" spans="1:3" ht="19.05">
      <c r="A46" s="79" t="s">
        <v>1</v>
      </c>
      <c r="B46" s="76"/>
      <c r="C46" s="71"/>
    </row>
    <row r="47" spans="1:3" ht="16.3">
      <c r="A47" s="115" t="s">
        <v>1183</v>
      </c>
      <c r="B47" s="85">
        <f>15*'Цены на металл '!B11</f>
        <v>15.450000000000001</v>
      </c>
      <c r="C47" s="84">
        <f>19*'Цены на металл '!C11</f>
        <v>19</v>
      </c>
    </row>
    <row r="48" spans="1:3" ht="19.05">
      <c r="A48" s="79" t="s">
        <v>62</v>
      </c>
      <c r="B48" s="75"/>
      <c r="C48" s="71"/>
    </row>
    <row r="49" spans="1:3" ht="16.3">
      <c r="A49" s="77" t="s">
        <v>63</v>
      </c>
      <c r="B49" s="85">
        <f>18*'Цены на металл '!B11</f>
        <v>18.54</v>
      </c>
      <c r="C49" s="78"/>
    </row>
    <row r="50" spans="1:3" ht="19.05">
      <c r="A50" s="80" t="s">
        <v>750</v>
      </c>
      <c r="B50" s="86">
        <f>688*'Цены на металл '!B11</f>
        <v>708.64</v>
      </c>
      <c r="C50" s="87">
        <f>573*'Цены на металл '!C11</f>
        <v>573</v>
      </c>
    </row>
    <row r="51" spans="1:3" ht="16.3">
      <c r="B51" s="86">
        <v>404</v>
      </c>
      <c r="C51" s="87">
        <v>705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0"/>
  <dimension ref="A1:M180"/>
  <sheetViews>
    <sheetView zoomScaleNormal="100"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M20" sqref="M20"/>
    </sheetView>
  </sheetViews>
  <sheetFormatPr defaultColWidth="9.125" defaultRowHeight="14.3"/>
  <cols>
    <col min="1" max="1" width="46" style="200" bestFit="1" customWidth="1"/>
    <col min="2" max="2" width="9" style="356" customWidth="1"/>
    <col min="3" max="3" width="10.625" style="346" customWidth="1"/>
    <col min="4" max="4" width="9.75" style="346" customWidth="1"/>
    <col min="5" max="5" width="10.25" style="632" customWidth="1"/>
    <col min="6" max="6" width="10.125" style="662" customWidth="1"/>
    <col min="7" max="7" width="9.125" style="662"/>
    <col min="8" max="8" width="11" style="686" customWidth="1"/>
    <col min="9" max="9" width="10.375" style="686" customWidth="1"/>
    <col min="10" max="10" width="11.625" style="686" customWidth="1"/>
    <col min="11" max="11" width="19.25" style="200" hidden="1" customWidth="1"/>
    <col min="12" max="12" width="17.625" style="200" customWidth="1"/>
    <col min="13" max="13" width="37.875" style="200" customWidth="1"/>
    <col min="14" max="16384" width="9.125" style="200"/>
  </cols>
  <sheetData>
    <row r="1" spans="1:13" ht="19.55" customHeight="1">
      <c r="A1" s="891" t="s">
        <v>2</v>
      </c>
      <c r="B1" s="908" t="s">
        <v>2271</v>
      </c>
      <c r="C1" s="908"/>
      <c r="D1" s="908"/>
      <c r="E1" s="893" t="s">
        <v>2272</v>
      </c>
      <c r="F1" s="893"/>
      <c r="G1" s="832"/>
      <c r="H1" s="902" t="s">
        <v>2273</v>
      </c>
      <c r="I1" s="903"/>
      <c r="J1" s="904"/>
      <c r="K1" s="252" t="s">
        <v>2287</v>
      </c>
      <c r="L1" s="896" t="s">
        <v>2304</v>
      </c>
      <c r="M1" s="898" t="s">
        <v>3413</v>
      </c>
    </row>
    <row r="2" spans="1:13" ht="15.8" customHeight="1" thickBot="1">
      <c r="A2" s="892"/>
      <c r="B2" s="909"/>
      <c r="C2" s="909"/>
      <c r="D2" s="909"/>
      <c r="E2" s="894"/>
      <c r="F2" s="894"/>
      <c r="G2" s="895"/>
      <c r="H2" s="905"/>
      <c r="I2" s="906"/>
      <c r="J2" s="907"/>
      <c r="K2" s="253">
        <v>50</v>
      </c>
      <c r="L2" s="897"/>
      <c r="M2" s="899"/>
    </row>
    <row r="3" spans="1:13" ht="20.25" customHeight="1" thickBot="1">
      <c r="A3" s="754" t="s">
        <v>2289</v>
      </c>
      <c r="B3" s="361" t="s">
        <v>2302</v>
      </c>
      <c r="C3" s="362" t="s">
        <v>2290</v>
      </c>
      <c r="D3" s="363" t="s">
        <v>2293</v>
      </c>
      <c r="E3" s="651" t="s">
        <v>2302</v>
      </c>
      <c r="F3" s="652" t="s">
        <v>2290</v>
      </c>
      <c r="G3" s="653" t="s">
        <v>2293</v>
      </c>
      <c r="H3" s="705" t="s">
        <v>2302</v>
      </c>
      <c r="I3" s="706" t="s">
        <v>2290</v>
      </c>
      <c r="J3" s="707" t="s">
        <v>2293</v>
      </c>
    </row>
    <row r="4" spans="1:13" ht="23.95" customHeight="1">
      <c r="A4" s="406" t="s">
        <v>5</v>
      </c>
      <c r="B4" s="388">
        <f>'Профиль (2)'!B3*1.6*($K$2/100+1)</f>
        <v>245.82902999999996</v>
      </c>
      <c r="C4" s="388">
        <f>'Профиль (2)'!C3*1.6*($K$2/100+1)</f>
        <v>374.16993600000001</v>
      </c>
      <c r="D4" s="388">
        <f>'Профиль (2)'!D3*1.6*($K$2/100+1)</f>
        <v>1334.7763199999999</v>
      </c>
      <c r="E4" s="654">
        <f>'Профиль (2)'!C3*1.6*($K$2/100+1)</f>
        <v>374.16993600000001</v>
      </c>
      <c r="F4" s="635">
        <f>'Профиль (2)'!D3*0.6*($K$2/100+1)</f>
        <v>500.54111999999998</v>
      </c>
      <c r="G4" s="655">
        <f>'Профиль (2)'!E3*4*($K$2/100+1)</f>
        <v>614.57257499999992</v>
      </c>
      <c r="H4" s="708">
        <f>'Профиль (2)'!D3*1.8*($K$2/100+1)</f>
        <v>1501.62336</v>
      </c>
      <c r="I4" s="691">
        <f>'Профиль (2)'!E3*12*($K$2/100+1)</f>
        <v>1843.7177249999997</v>
      </c>
      <c r="J4" s="695">
        <f>'Профиль (2)'!F3*16*($K$2/100+1)</f>
        <v>2289.5121599999998</v>
      </c>
    </row>
    <row r="5" spans="1:13" ht="22.6" customHeight="1">
      <c r="A5" s="387" t="s">
        <v>6</v>
      </c>
      <c r="B5" s="388">
        <f>'Профиль (2)'!B4*1.6*($K$2/100+1)</f>
        <v>287.79983999999996</v>
      </c>
      <c r="C5" s="388">
        <f>'Профиль (2)'!C4*1.6*($K$2/100+1)</f>
        <v>438.05260800000002</v>
      </c>
      <c r="D5" s="388">
        <f>'Профиль (2)'!D4*1.6*($K$2/100+1)</f>
        <v>1562.6649599999996</v>
      </c>
      <c r="E5" s="654">
        <f>'Профиль (2)'!C4*1.6*($K$2/100+1)</f>
        <v>438.05260800000002</v>
      </c>
      <c r="F5" s="635">
        <f>'Профиль (2)'!D4*0.6*($K$2/100+1)</f>
        <v>585.99935999999991</v>
      </c>
      <c r="G5" s="655">
        <f>'Профиль (2)'!E4*4*($K$2/100+1)</f>
        <v>719.49959999999987</v>
      </c>
      <c r="H5" s="593">
        <f>'Профиль (2)'!D4*1.8*($K$2/100+1)</f>
        <v>1757.9980799999998</v>
      </c>
      <c r="I5" s="691">
        <f>'Профиль (2)'!E4*12*($K$2/100+1)</f>
        <v>2158.4987999999994</v>
      </c>
      <c r="J5" s="695">
        <f>'Профиль (2)'!F4*16*($K$2/100+1)</f>
        <v>2680.4044800000001</v>
      </c>
    </row>
    <row r="6" spans="1:13" ht="21.1" customHeight="1" thickBot="1">
      <c r="A6" s="407" t="s">
        <v>19</v>
      </c>
      <c r="B6" s="388">
        <f>'Профиль (2)'!B5*1.6*($K$2/100+1)</f>
        <v>161.88740999999999</v>
      </c>
      <c r="C6" s="388">
        <f>'Профиль (2)'!C5*1.6*($K$2/100+1)</f>
        <v>246.40459200000004</v>
      </c>
      <c r="D6" s="388">
        <f>'Профиль (2)'!D5*1.6*($K$2/100+1)</f>
        <v>878.99904000000015</v>
      </c>
      <c r="E6" s="656">
        <f>'Профиль (2)'!C5*1.6*($K$2/100+1)</f>
        <v>246.40459200000004</v>
      </c>
      <c r="F6" s="639">
        <f>'Профиль (2)'!D5*0.6*($K$2/100+1)</f>
        <v>329.62464</v>
      </c>
      <c r="G6" s="657">
        <f>'Профиль (2)'!E5*4*($K$2/100+1)</f>
        <v>404.718525</v>
      </c>
      <c r="H6" s="709">
        <f>'Профиль (2)'!D5*1.8*($K$2/100+1)</f>
        <v>988.87392000000023</v>
      </c>
      <c r="I6" s="697">
        <f>'Профиль (2)'!E5*12*($K$2/100+1)</f>
        <v>1214.155575</v>
      </c>
      <c r="J6" s="698">
        <f>'Профиль (2)'!F5*16*($K$2/100+1)</f>
        <v>1507.7275200000004</v>
      </c>
    </row>
    <row r="7" spans="1:13" ht="22.6" customHeight="1" thickBot="1">
      <c r="A7" s="755" t="s">
        <v>14</v>
      </c>
      <c r="B7" s="756"/>
      <c r="C7" s="756"/>
      <c r="D7" s="756"/>
      <c r="E7" s="756"/>
      <c r="F7" s="756"/>
      <c r="G7" s="756"/>
      <c r="H7" s="756"/>
      <c r="I7" s="756"/>
      <c r="J7" s="757"/>
    </row>
    <row r="8" spans="1:13" ht="25.5" customHeight="1">
      <c r="A8" s="406" t="s">
        <v>7</v>
      </c>
      <c r="B8" s="388">
        <f>'Профиль (2)'!B7*1.6*($K$2/100+1)</f>
        <v>455.68308000000002</v>
      </c>
      <c r="C8" s="388">
        <f>'Профиль (2)'!C7*1.6*($K$2/100+1)</f>
        <v>693.58329600000002</v>
      </c>
      <c r="D8" s="388">
        <f>'Профиль (2)'!D7*1.6*($K$2/100+1)</f>
        <v>2474.2195200000001</v>
      </c>
      <c r="E8" s="654">
        <f>'Профиль (2)'!C7*1.6*($K$2/100+1)</f>
        <v>693.58329600000002</v>
      </c>
      <c r="F8" s="635">
        <f>'Профиль (2)'!D7*0.6*($K$2/100+1)</f>
        <v>927.83231999999998</v>
      </c>
      <c r="G8" s="655">
        <f>'Профиль (2)'!E7*4*($K$2/100+1)</f>
        <v>1139.2076999999999</v>
      </c>
      <c r="H8" s="708">
        <f>'Профиль (2)'!D7*1.8*($K$2/100+1)</f>
        <v>2783.4969599999999</v>
      </c>
      <c r="I8" s="691">
        <f>'Профиль (2)'!E7*12*($K$2/100+1)</f>
        <v>3417.6230999999998</v>
      </c>
      <c r="J8" s="695">
        <f>'Профиль (2)'!F7*16*($K$2/100+1)</f>
        <v>4243.9737600000008</v>
      </c>
    </row>
    <row r="9" spans="1:13" ht="22.6" customHeight="1">
      <c r="A9" s="387" t="s">
        <v>8</v>
      </c>
      <c r="B9" s="388">
        <f>'Профиль (2)'!B8*1.6*($K$2/100+1)</f>
        <v>347.75813999999997</v>
      </c>
      <c r="C9" s="388">
        <f>'Профиль (2)'!C8*1.6*($K$2/100+1)</f>
        <v>529.31356800000003</v>
      </c>
      <c r="D9" s="388">
        <f>'Профиль (2)'!D8*1.6*($K$2/100+1)</f>
        <v>1888.2201599999999</v>
      </c>
      <c r="E9" s="654">
        <f>'Профиль (2)'!C8*1.6*($K$2/100+1)</f>
        <v>529.31356800000003</v>
      </c>
      <c r="F9" s="635">
        <f>'Профиль (2)'!D8*0.6*($K$2/100+1)</f>
        <v>708.08255999999983</v>
      </c>
      <c r="G9" s="655">
        <f>'Профиль (2)'!E8*4*($K$2/100+1)</f>
        <v>869.39534999999978</v>
      </c>
      <c r="H9" s="593">
        <f>'Профиль (2)'!D8*1.8*($K$2/100+1)</f>
        <v>2124.2476799999995</v>
      </c>
      <c r="I9" s="691">
        <f>'Профиль (2)'!E8*12*($K$2/100+1)</f>
        <v>2608.1860499999993</v>
      </c>
      <c r="J9" s="695">
        <f>'Профиль (2)'!F8*16*($K$2/100+1)</f>
        <v>3238.8220799999999</v>
      </c>
    </row>
    <row r="10" spans="1:13" ht="23.95" customHeight="1">
      <c r="A10" s="387" t="s">
        <v>9</v>
      </c>
      <c r="B10" s="388">
        <f>'Профиль (2)'!B9*1.6*($K$2/100+1)</f>
        <v>347.75813999999997</v>
      </c>
      <c r="C10" s="388">
        <f>'Профиль (2)'!C9*1.6*($K$2/100+1)</f>
        <v>529.31356800000003</v>
      </c>
      <c r="D10" s="388">
        <f>'Профиль (2)'!D9*1.6*($K$2/100+1)</f>
        <v>1888.2201599999999</v>
      </c>
      <c r="E10" s="654">
        <f>'Профиль (2)'!C9*1.6*($K$2/100+1)</f>
        <v>529.31356800000003</v>
      </c>
      <c r="F10" s="635">
        <f>'Профиль (2)'!D9*0.6*($K$2/100+1)</f>
        <v>708.08255999999983</v>
      </c>
      <c r="G10" s="655">
        <f>'Профиль (2)'!E9*4*($K$2/100+1)</f>
        <v>869.39534999999978</v>
      </c>
      <c r="H10" s="593">
        <f>'Профиль (2)'!D9*1.8*($K$2/100+1)</f>
        <v>2124.2476799999995</v>
      </c>
      <c r="I10" s="691">
        <f>'Профиль (2)'!E9*12*($K$2/100+1)</f>
        <v>2608.1860499999993</v>
      </c>
      <c r="J10" s="695">
        <f>'Профиль (2)'!F9*16*($K$2/100+1)</f>
        <v>3238.8220799999999</v>
      </c>
    </row>
    <row r="11" spans="1:13" ht="27" customHeight="1" thickBot="1">
      <c r="A11" s="407" t="s">
        <v>762</v>
      </c>
      <c r="B11" s="388">
        <f>'Профиль (2)'!B10*1.6*($K$2/100+1)</f>
        <v>164.88532500000002</v>
      </c>
      <c r="C11" s="388">
        <f>'Профиль (2)'!C10*1.6*($K$2/100+1)</f>
        <v>250.96764000000002</v>
      </c>
      <c r="D11" s="388">
        <f>'Профиль (2)'!D10*1.6*($K$2/100+1)</f>
        <v>895.27680000000009</v>
      </c>
      <c r="E11" s="656">
        <f>'Профиль (2)'!C10*1.6*($K$2/100+1)</f>
        <v>250.96764000000002</v>
      </c>
      <c r="F11" s="639">
        <f>'Профиль (2)'!D10*0.6*($K$2/100+1)</f>
        <v>335.72880000000004</v>
      </c>
      <c r="G11" s="657">
        <f>'Профиль (2)'!E10*4*($K$2/100+1)</f>
        <v>412.21331250000003</v>
      </c>
      <c r="H11" s="709">
        <f>'Профиль (2)'!D10*1.8*($K$2/100+1)</f>
        <v>1007.1864</v>
      </c>
      <c r="I11" s="697">
        <f>'Профиль (2)'!E10*12*($K$2/100+1)</f>
        <v>1236.6399375000001</v>
      </c>
      <c r="J11" s="698">
        <f>'Профиль (2)'!F10*16*($K$2/100+1)</f>
        <v>1535.6484000000003</v>
      </c>
    </row>
    <row r="12" spans="1:13" ht="22.6" customHeight="1" thickBot="1">
      <c r="A12" s="755" t="s">
        <v>15</v>
      </c>
      <c r="B12" s="756"/>
      <c r="C12" s="756"/>
      <c r="D12" s="756"/>
      <c r="E12" s="756"/>
      <c r="F12" s="756"/>
      <c r="G12" s="756"/>
      <c r="H12" s="756"/>
      <c r="I12" s="756"/>
      <c r="J12" s="757"/>
    </row>
    <row r="13" spans="1:13" ht="26.35" customHeight="1">
      <c r="A13" s="406" t="s">
        <v>3</v>
      </c>
      <c r="B13" s="388">
        <f>'Профиль (2)'!B12*1.6*($K$2/100+1)</f>
        <v>395.72477999999995</v>
      </c>
      <c r="C13" s="388">
        <f>'Профиль (2)'!C12*1.6*($K$2/100+1)</f>
        <v>602.32233600000006</v>
      </c>
      <c r="D13" s="388">
        <f>'Профиль (2)'!D12*1.6*($K$2/100+1)</f>
        <v>2148.6643199999999</v>
      </c>
      <c r="E13" s="654">
        <f>'Профиль (2)'!C12*1.6*($K$2/100+1)</f>
        <v>602.32233600000006</v>
      </c>
      <c r="F13" s="635">
        <f>'Профиль (2)'!D12*0.6*($K$2/100+1)</f>
        <v>805.74911999999995</v>
      </c>
      <c r="G13" s="655">
        <f>'Профиль (2)'!E12*4*($K$2/100+1)</f>
        <v>989.3119499999998</v>
      </c>
      <c r="H13" s="708">
        <f>'Профиль (2)'!D12*1.8*($K$2/100+1)</f>
        <v>2417.2473599999998</v>
      </c>
      <c r="I13" s="691">
        <f>'Профиль (2)'!E12*12*($K$2/100+1)</f>
        <v>2967.9358499999994</v>
      </c>
      <c r="J13" s="695">
        <f>'Профиль (2)'!F12*16*($K$2/100+1)</f>
        <v>3685.556160000001</v>
      </c>
    </row>
    <row r="14" spans="1:13" ht="23.95" customHeight="1">
      <c r="A14" s="387" t="s">
        <v>4</v>
      </c>
      <c r="B14" s="388">
        <f>'Профиль (2)'!B13*1.6*($K$2/100+1)</f>
        <v>287.79983999999996</v>
      </c>
      <c r="C14" s="388">
        <f>'Профиль (2)'!C13*1.6*($K$2/100+1)</f>
        <v>438.05260800000002</v>
      </c>
      <c r="D14" s="388">
        <f>'Профиль (2)'!D13*1.6*($K$2/100+1)</f>
        <v>1562.6649599999996</v>
      </c>
      <c r="E14" s="654">
        <f>'Профиль (2)'!C13*1.6*($K$2/100+1)</f>
        <v>438.05260800000002</v>
      </c>
      <c r="F14" s="635">
        <f>'Профиль (2)'!D13*0.6*($K$2/100+1)</f>
        <v>585.99935999999991</v>
      </c>
      <c r="G14" s="655">
        <f>'Профиль (2)'!E13*4*($K$2/100+1)</f>
        <v>719.49959999999987</v>
      </c>
      <c r="H14" s="593">
        <f>'Профиль (2)'!D13*1.8*($K$2/100+1)</f>
        <v>1757.9980799999998</v>
      </c>
      <c r="I14" s="691">
        <f>'Профиль (2)'!E13*12*($K$2/100+1)</f>
        <v>2158.4987999999994</v>
      </c>
      <c r="J14" s="695">
        <f>'Профиль (2)'!F13*16*($K$2/100+1)</f>
        <v>2680.4044800000001</v>
      </c>
    </row>
    <row r="15" spans="1:13" ht="23.95" customHeight="1" thickBot="1">
      <c r="A15" s="407" t="s">
        <v>17</v>
      </c>
      <c r="B15" s="388">
        <f>'Профиль (2)'!B14*1.6*($K$2/100+1)</f>
        <v>260.81860499999999</v>
      </c>
      <c r="C15" s="388">
        <f>'Профиль (2)'!C14*1.6*($K$2/100+1)</f>
        <v>396.98517599999991</v>
      </c>
      <c r="D15" s="388">
        <f>'Профиль (2)'!D14*1.6*($K$2/100+1)</f>
        <v>1416.1651200000001</v>
      </c>
      <c r="E15" s="656">
        <f>'Профиль (2)'!C14*1.6*($K$2/100+1)</f>
        <v>396.98517599999991</v>
      </c>
      <c r="F15" s="639">
        <f>'Профиль (2)'!D14*0.6*($K$2/100+1)</f>
        <v>531.06191999999999</v>
      </c>
      <c r="G15" s="657">
        <f>'Профиль (2)'!E14*4*($K$2/100+1)</f>
        <v>652.04651249999995</v>
      </c>
      <c r="H15" s="709">
        <f>'Профиль (2)'!D14*1.8*($K$2/100+1)</f>
        <v>1593.1857599999998</v>
      </c>
      <c r="I15" s="697">
        <f>'Профиль (2)'!E14*12*($K$2/100+1)</f>
        <v>1956.1395374999997</v>
      </c>
      <c r="J15" s="698">
        <f>'Профиль (2)'!F14*16*($K$2/100+1)</f>
        <v>2429.1165599999999</v>
      </c>
    </row>
    <row r="16" spans="1:13" ht="21.75" customHeight="1" thickBot="1">
      <c r="A16" s="755" t="s">
        <v>16</v>
      </c>
      <c r="B16" s="756"/>
      <c r="C16" s="756"/>
      <c r="D16" s="756"/>
      <c r="E16" s="756"/>
      <c r="F16" s="756"/>
      <c r="G16" s="756"/>
      <c r="H16" s="756"/>
      <c r="I16" s="756"/>
      <c r="J16" s="757"/>
    </row>
    <row r="17" spans="1:10" ht="31.6" customHeight="1">
      <c r="A17" s="406" t="s">
        <v>60</v>
      </c>
      <c r="B17" s="388">
        <f>'Профиль (2)'!B16*1.6*($K$2/100+1)</f>
        <v>119.9166</v>
      </c>
      <c r="C17" s="388">
        <f>'Профиль (2)'!C16*1.6*($K$2/100+1)</f>
        <v>182.52192000000002</v>
      </c>
      <c r="D17" s="388">
        <f>'Профиль (2)'!D16*1.6*($K$2/100+1)</f>
        <v>651.11040000000003</v>
      </c>
      <c r="E17" s="654">
        <f>'Профиль (2)'!C16*1.6*($K$2/100+1)</f>
        <v>182.52192000000002</v>
      </c>
      <c r="F17" s="635">
        <f>'Профиль (2)'!D16*0.6*($K$2/100+1)</f>
        <v>244.16639999999995</v>
      </c>
      <c r="G17" s="655">
        <f>'Профиль (2)'!E16*4*($K$2/100+1)</f>
        <v>299.79149999999998</v>
      </c>
      <c r="H17" s="708">
        <f>'Профиль (2)'!D16*1.8*($K$2/100+1)</f>
        <v>732.49919999999997</v>
      </c>
      <c r="I17" s="691">
        <f>'Профиль (2)'!E16*12*($K$2/100+1)</f>
        <v>899.3744999999999</v>
      </c>
      <c r="J17" s="695">
        <f>'Профиль (2)'!F16*16*($K$2/100+1)</f>
        <v>1116.8352</v>
      </c>
    </row>
    <row r="18" spans="1:10" ht="32.299999999999997" customHeight="1" thickBot="1">
      <c r="A18" s="407" t="s">
        <v>61</v>
      </c>
      <c r="B18" s="388">
        <f>'Профиль (2)'!B17*1.6*($K$2/100+1)</f>
        <v>89.937449999999998</v>
      </c>
      <c r="C18" s="388">
        <f>'Профиль (2)'!C17*1.6*($K$2/100+1)</f>
        <v>136.89144000000002</v>
      </c>
      <c r="D18" s="388">
        <f>'Профиль (2)'!D17*1.6*($K$2/100+1)</f>
        <v>488.33280000000002</v>
      </c>
      <c r="E18" s="656">
        <f>'Профиль (2)'!C17*1.6*($K$2/100+1)</f>
        <v>136.89144000000002</v>
      </c>
      <c r="F18" s="639">
        <f>'Профиль (2)'!D17*0.6*($K$2/100+1)</f>
        <v>183.12479999999996</v>
      </c>
      <c r="G18" s="657">
        <f>'Профиль (2)'!E17*4*($K$2/100+1)</f>
        <v>224.84362499999997</v>
      </c>
      <c r="H18" s="709">
        <f>'Профиль (2)'!D17*1.8*($K$2/100+1)</f>
        <v>549.37439999999992</v>
      </c>
      <c r="I18" s="697">
        <f>'Профиль (2)'!E17*12*($K$2/100+1)</f>
        <v>674.53087499999992</v>
      </c>
      <c r="J18" s="698">
        <f>'Профиль (2)'!F17*16*($K$2/100+1)</f>
        <v>837.62639999999999</v>
      </c>
    </row>
    <row r="19" spans="1:10" ht="21.1" customHeight="1" thickBot="1">
      <c r="A19" s="759" t="s">
        <v>2825</v>
      </c>
      <c r="B19" s="910"/>
      <c r="C19" s="910"/>
      <c r="D19" s="910"/>
      <c r="E19" s="910"/>
      <c r="F19" s="910"/>
      <c r="G19" s="910"/>
      <c r="H19" s="910"/>
      <c r="I19" s="910"/>
      <c r="J19" s="911"/>
    </row>
    <row r="20" spans="1:10" ht="36.700000000000003" customHeight="1">
      <c r="A20" s="409" t="s">
        <v>2826</v>
      </c>
      <c r="B20" s="391">
        <v>142</v>
      </c>
      <c r="C20" s="410">
        <v>177</v>
      </c>
      <c r="D20" s="411">
        <v>212</v>
      </c>
      <c r="E20" s="658">
        <f>B20*1.4</f>
        <v>198.79999999999998</v>
      </c>
      <c r="F20" s="634">
        <f t="shared" ref="F20:G21" si="0">C20*1.4</f>
        <v>247.79999999999998</v>
      </c>
      <c r="G20" s="659">
        <f t="shared" si="0"/>
        <v>296.79999999999995</v>
      </c>
      <c r="H20" s="710">
        <f>B20*4</f>
        <v>568</v>
      </c>
      <c r="I20" s="711">
        <f t="shared" ref="I20:J21" si="1">C20*4</f>
        <v>708</v>
      </c>
      <c r="J20" s="712">
        <f t="shared" si="1"/>
        <v>848</v>
      </c>
    </row>
    <row r="21" spans="1:10" ht="37.549999999999997" customHeight="1" thickBot="1">
      <c r="A21" s="409" t="s">
        <v>2827</v>
      </c>
      <c r="B21" s="391">
        <v>283</v>
      </c>
      <c r="C21" s="410">
        <v>354</v>
      </c>
      <c r="D21" s="411">
        <v>424</v>
      </c>
      <c r="E21" s="660">
        <f>B21*1.4</f>
        <v>396.2</v>
      </c>
      <c r="F21" s="636">
        <f t="shared" si="0"/>
        <v>495.59999999999997</v>
      </c>
      <c r="G21" s="661">
        <f t="shared" si="0"/>
        <v>593.59999999999991</v>
      </c>
      <c r="H21" s="713">
        <f>B21*4</f>
        <v>1132</v>
      </c>
      <c r="I21" s="714">
        <f t="shared" si="1"/>
        <v>1416</v>
      </c>
      <c r="J21" s="715">
        <f t="shared" si="1"/>
        <v>1696</v>
      </c>
    </row>
    <row r="22" spans="1:10" ht="24.8" customHeight="1" thickBot="1">
      <c r="A22" s="758" t="s">
        <v>2288</v>
      </c>
      <c r="B22" s="900"/>
      <c r="C22" s="900"/>
      <c r="D22" s="900"/>
      <c r="E22" s="900"/>
      <c r="F22" s="900"/>
      <c r="G22" s="900"/>
      <c r="H22" s="900"/>
      <c r="I22" s="900"/>
      <c r="J22" s="901"/>
    </row>
    <row r="23" spans="1:10" ht="39.1" customHeight="1">
      <c r="A23" s="386" t="s">
        <v>2291</v>
      </c>
      <c r="B23" s="388">
        <v>42</v>
      </c>
      <c r="C23" s="389" t="s">
        <v>770</v>
      </c>
      <c r="D23" s="390" t="s">
        <v>770</v>
      </c>
      <c r="E23" s="654" t="s">
        <v>770</v>
      </c>
      <c r="F23" s="635" t="s">
        <v>770</v>
      </c>
      <c r="G23" s="655" t="s">
        <v>770</v>
      </c>
      <c r="H23" s="708" t="s">
        <v>770</v>
      </c>
      <c r="I23" s="691" t="s">
        <v>770</v>
      </c>
      <c r="J23" s="695" t="s">
        <v>770</v>
      </c>
    </row>
    <row r="24" spans="1:10" ht="39.1" customHeight="1" thickBot="1">
      <c r="A24" s="392" t="s">
        <v>2292</v>
      </c>
      <c r="B24" s="393">
        <v>94</v>
      </c>
      <c r="C24" s="394" t="s">
        <v>770</v>
      </c>
      <c r="D24" s="395" t="s">
        <v>770</v>
      </c>
      <c r="E24" s="660" t="s">
        <v>770</v>
      </c>
      <c r="F24" s="636" t="s">
        <v>770</v>
      </c>
      <c r="G24" s="661" t="s">
        <v>770</v>
      </c>
      <c r="H24" s="596" t="s">
        <v>770</v>
      </c>
      <c r="I24" s="597" t="s">
        <v>770</v>
      </c>
      <c r="J24" s="598" t="s">
        <v>770</v>
      </c>
    </row>
    <row r="25" spans="1:10" s="258" customFormat="1">
      <c r="B25" s="256"/>
      <c r="C25" s="342"/>
      <c r="D25" s="342"/>
      <c r="F25" s="342"/>
      <c r="G25" s="342"/>
    </row>
    <row r="26" spans="1:10" s="258" customFormat="1">
      <c r="B26" s="256"/>
      <c r="C26" s="342"/>
      <c r="D26" s="342"/>
      <c r="F26" s="342"/>
      <c r="G26" s="342"/>
    </row>
    <row r="27" spans="1:10" s="258" customFormat="1">
      <c r="B27" s="256"/>
      <c r="C27" s="342"/>
      <c r="D27" s="342"/>
      <c r="F27" s="342"/>
      <c r="G27" s="342"/>
    </row>
    <row r="28" spans="1:10" s="258" customFormat="1">
      <c r="B28" s="256"/>
      <c r="C28" s="342"/>
      <c r="D28" s="342"/>
      <c r="F28" s="342"/>
      <c r="G28" s="342"/>
    </row>
    <row r="29" spans="1:10" s="258" customFormat="1">
      <c r="B29" s="256"/>
      <c r="C29" s="342"/>
      <c r="D29" s="342"/>
      <c r="F29" s="342"/>
      <c r="G29" s="342"/>
    </row>
    <row r="30" spans="1:10" s="258" customFormat="1">
      <c r="B30" s="256"/>
      <c r="C30" s="342"/>
      <c r="D30" s="342"/>
      <c r="F30" s="342"/>
      <c r="G30" s="342"/>
    </row>
    <row r="31" spans="1:10" s="258" customFormat="1">
      <c r="B31" s="256"/>
      <c r="C31" s="342"/>
      <c r="D31" s="342"/>
      <c r="F31" s="342"/>
      <c r="G31" s="342"/>
    </row>
    <row r="32" spans="1:10" s="258" customFormat="1">
      <c r="B32" s="256"/>
      <c r="C32" s="342"/>
      <c r="D32" s="342"/>
      <c r="F32" s="342"/>
      <c r="G32" s="342"/>
    </row>
    <row r="33" spans="2:7" s="258" customFormat="1">
      <c r="B33" s="256"/>
      <c r="C33" s="342"/>
      <c r="D33" s="342"/>
      <c r="F33" s="342"/>
      <c r="G33" s="342"/>
    </row>
    <row r="34" spans="2:7" s="258" customFormat="1">
      <c r="B34" s="256"/>
      <c r="C34" s="342"/>
      <c r="D34" s="342"/>
      <c r="F34" s="342"/>
      <c r="G34" s="342"/>
    </row>
    <row r="35" spans="2:7" s="258" customFormat="1">
      <c r="B35" s="256"/>
      <c r="C35" s="342"/>
      <c r="D35" s="342"/>
      <c r="F35" s="342"/>
      <c r="G35" s="342"/>
    </row>
    <row r="36" spans="2:7" s="258" customFormat="1">
      <c r="B36" s="256"/>
      <c r="C36" s="342"/>
      <c r="D36" s="342"/>
      <c r="F36" s="342"/>
      <c r="G36" s="342"/>
    </row>
    <row r="37" spans="2:7" s="258" customFormat="1">
      <c r="B37" s="256"/>
      <c r="C37" s="342"/>
      <c r="D37" s="342"/>
      <c r="F37" s="342"/>
      <c r="G37" s="342"/>
    </row>
    <row r="38" spans="2:7" s="258" customFormat="1">
      <c r="B38" s="256"/>
      <c r="C38" s="342"/>
      <c r="D38" s="342"/>
      <c r="F38" s="342"/>
      <c r="G38" s="342"/>
    </row>
    <row r="39" spans="2:7" s="258" customFormat="1">
      <c r="B39" s="256"/>
      <c r="C39" s="342"/>
      <c r="D39" s="342"/>
      <c r="F39" s="342"/>
      <c r="G39" s="342"/>
    </row>
    <row r="40" spans="2:7" s="258" customFormat="1">
      <c r="B40" s="256"/>
      <c r="C40" s="342"/>
      <c r="D40" s="342"/>
      <c r="F40" s="342"/>
      <c r="G40" s="342"/>
    </row>
    <row r="41" spans="2:7" s="258" customFormat="1">
      <c r="B41" s="256"/>
      <c r="C41" s="342"/>
      <c r="D41" s="342"/>
      <c r="F41" s="342"/>
      <c r="G41" s="342"/>
    </row>
    <row r="42" spans="2:7" s="258" customFormat="1">
      <c r="B42" s="256"/>
      <c r="C42" s="342"/>
      <c r="D42" s="342"/>
      <c r="F42" s="342"/>
      <c r="G42" s="342"/>
    </row>
    <row r="43" spans="2:7" s="258" customFormat="1">
      <c r="B43" s="256"/>
      <c r="C43" s="342"/>
      <c r="D43" s="342"/>
      <c r="F43" s="342"/>
      <c r="G43" s="342"/>
    </row>
    <row r="44" spans="2:7" s="258" customFormat="1">
      <c r="B44" s="256"/>
      <c r="C44" s="342"/>
      <c r="D44" s="342"/>
      <c r="F44" s="342"/>
      <c r="G44" s="342"/>
    </row>
    <row r="45" spans="2:7" s="258" customFormat="1">
      <c r="B45" s="256"/>
      <c r="C45" s="342"/>
      <c r="D45" s="342"/>
      <c r="F45" s="342"/>
      <c r="G45" s="342"/>
    </row>
    <row r="46" spans="2:7" s="258" customFormat="1">
      <c r="B46" s="256"/>
      <c r="C46" s="342"/>
      <c r="D46" s="342"/>
      <c r="F46" s="342"/>
      <c r="G46" s="342"/>
    </row>
    <row r="47" spans="2:7" s="258" customFormat="1">
      <c r="B47" s="256"/>
      <c r="C47" s="342"/>
      <c r="D47" s="342"/>
      <c r="F47" s="342"/>
      <c r="G47" s="342"/>
    </row>
    <row r="48" spans="2:7" s="258" customFormat="1">
      <c r="B48" s="256"/>
      <c r="C48" s="342"/>
      <c r="D48" s="342"/>
      <c r="F48" s="342"/>
      <c r="G48" s="342"/>
    </row>
    <row r="49" spans="2:7" s="258" customFormat="1">
      <c r="B49" s="256"/>
      <c r="C49" s="342"/>
      <c r="D49" s="342"/>
      <c r="F49" s="342"/>
      <c r="G49" s="342"/>
    </row>
    <row r="50" spans="2:7" s="258" customFormat="1">
      <c r="B50" s="256"/>
      <c r="C50" s="342"/>
      <c r="D50" s="342"/>
      <c r="F50" s="342"/>
      <c r="G50" s="342"/>
    </row>
    <row r="51" spans="2:7" s="258" customFormat="1">
      <c r="B51" s="256"/>
      <c r="C51" s="342"/>
      <c r="D51" s="342"/>
      <c r="F51" s="342"/>
      <c r="G51" s="342"/>
    </row>
    <row r="52" spans="2:7" s="258" customFormat="1">
      <c r="B52" s="256"/>
      <c r="C52" s="342"/>
      <c r="D52" s="342"/>
      <c r="F52" s="342"/>
      <c r="G52" s="342"/>
    </row>
    <row r="53" spans="2:7" s="258" customFormat="1">
      <c r="B53" s="256"/>
      <c r="C53" s="342"/>
      <c r="D53" s="342"/>
      <c r="F53" s="342"/>
      <c r="G53" s="342"/>
    </row>
    <row r="54" spans="2:7" s="258" customFormat="1">
      <c r="B54" s="256"/>
      <c r="C54" s="342"/>
      <c r="D54" s="342"/>
      <c r="F54" s="342"/>
      <c r="G54" s="342"/>
    </row>
    <row r="55" spans="2:7" s="258" customFormat="1">
      <c r="B55" s="256"/>
      <c r="C55" s="342"/>
      <c r="D55" s="342"/>
      <c r="F55" s="342"/>
      <c r="G55" s="342"/>
    </row>
    <row r="56" spans="2:7" s="258" customFormat="1">
      <c r="B56" s="256"/>
      <c r="C56" s="342"/>
      <c r="D56" s="342"/>
      <c r="F56" s="342"/>
      <c r="G56" s="342"/>
    </row>
    <row r="57" spans="2:7" s="258" customFormat="1">
      <c r="B57" s="256"/>
      <c r="C57" s="342"/>
      <c r="D57" s="342"/>
      <c r="F57" s="342"/>
      <c r="G57" s="342"/>
    </row>
    <row r="58" spans="2:7" s="258" customFormat="1">
      <c r="B58" s="256"/>
      <c r="C58" s="342"/>
      <c r="D58" s="342"/>
      <c r="F58" s="342"/>
      <c r="G58" s="342"/>
    </row>
    <row r="59" spans="2:7" s="258" customFormat="1">
      <c r="B59" s="256"/>
      <c r="C59" s="342"/>
      <c r="D59" s="342"/>
      <c r="F59" s="342"/>
      <c r="G59" s="342"/>
    </row>
    <row r="60" spans="2:7" s="258" customFormat="1">
      <c r="B60" s="256"/>
      <c r="C60" s="342"/>
      <c r="D60" s="342"/>
      <c r="F60" s="342"/>
      <c r="G60" s="342"/>
    </row>
    <row r="61" spans="2:7" s="258" customFormat="1">
      <c r="B61" s="256"/>
      <c r="C61" s="342"/>
      <c r="D61" s="342"/>
      <c r="F61" s="342"/>
      <c r="G61" s="342"/>
    </row>
    <row r="62" spans="2:7" s="258" customFormat="1">
      <c r="B62" s="256"/>
      <c r="C62" s="342"/>
      <c r="D62" s="342"/>
      <c r="F62" s="342"/>
      <c r="G62" s="342"/>
    </row>
    <row r="63" spans="2:7" s="258" customFormat="1">
      <c r="B63" s="256"/>
      <c r="C63" s="342"/>
      <c r="D63" s="342"/>
      <c r="F63" s="342"/>
      <c r="G63" s="342"/>
    </row>
    <row r="64" spans="2:7" s="258" customFormat="1">
      <c r="B64" s="256"/>
      <c r="C64" s="342"/>
      <c r="D64" s="342"/>
      <c r="F64" s="342"/>
      <c r="G64" s="342"/>
    </row>
    <row r="65" spans="2:7" s="258" customFormat="1">
      <c r="B65" s="256"/>
      <c r="C65" s="342"/>
      <c r="D65" s="342"/>
      <c r="F65" s="342"/>
      <c r="G65" s="342"/>
    </row>
    <row r="66" spans="2:7" s="258" customFormat="1">
      <c r="B66" s="256"/>
      <c r="C66" s="342"/>
      <c r="D66" s="342"/>
      <c r="F66" s="342"/>
      <c r="G66" s="342"/>
    </row>
    <row r="67" spans="2:7" s="258" customFormat="1">
      <c r="B67" s="256"/>
      <c r="C67" s="342"/>
      <c r="D67" s="342"/>
      <c r="F67" s="342"/>
      <c r="G67" s="342"/>
    </row>
    <row r="68" spans="2:7" s="258" customFormat="1">
      <c r="B68" s="256"/>
      <c r="C68" s="342"/>
      <c r="D68" s="342"/>
      <c r="F68" s="342"/>
      <c r="G68" s="342"/>
    </row>
    <row r="69" spans="2:7" s="258" customFormat="1">
      <c r="B69" s="256"/>
      <c r="C69" s="342"/>
      <c r="D69" s="342"/>
      <c r="F69" s="342"/>
      <c r="G69" s="342"/>
    </row>
    <row r="70" spans="2:7" s="258" customFormat="1">
      <c r="B70" s="256"/>
      <c r="C70" s="342"/>
      <c r="D70" s="342"/>
      <c r="F70" s="342"/>
      <c r="G70" s="342"/>
    </row>
    <row r="71" spans="2:7" s="258" customFormat="1">
      <c r="B71" s="256"/>
      <c r="C71" s="342"/>
      <c r="D71" s="342"/>
      <c r="F71" s="342"/>
      <c r="G71" s="342"/>
    </row>
    <row r="72" spans="2:7" s="258" customFormat="1">
      <c r="B72" s="256"/>
      <c r="C72" s="342"/>
      <c r="D72" s="342"/>
      <c r="F72" s="342"/>
      <c r="G72" s="342"/>
    </row>
    <row r="73" spans="2:7" s="258" customFormat="1">
      <c r="B73" s="256"/>
      <c r="C73" s="342"/>
      <c r="D73" s="342"/>
      <c r="F73" s="342"/>
      <c r="G73" s="342"/>
    </row>
    <row r="74" spans="2:7" s="258" customFormat="1">
      <c r="B74" s="256"/>
      <c r="C74" s="342"/>
      <c r="D74" s="342"/>
      <c r="F74" s="342"/>
      <c r="G74" s="342"/>
    </row>
    <row r="75" spans="2:7" s="258" customFormat="1">
      <c r="B75" s="256"/>
      <c r="C75" s="342"/>
      <c r="D75" s="342"/>
      <c r="F75" s="342"/>
      <c r="G75" s="342"/>
    </row>
    <row r="76" spans="2:7" s="258" customFormat="1">
      <c r="B76" s="256"/>
      <c r="C76" s="342"/>
      <c r="D76" s="342"/>
      <c r="F76" s="342"/>
      <c r="G76" s="342"/>
    </row>
    <row r="77" spans="2:7" s="258" customFormat="1">
      <c r="B77" s="256"/>
      <c r="C77" s="342"/>
      <c r="D77" s="342"/>
      <c r="F77" s="342"/>
      <c r="G77" s="342"/>
    </row>
    <row r="78" spans="2:7" s="258" customFormat="1">
      <c r="B78" s="256"/>
      <c r="C78" s="342"/>
      <c r="D78" s="342"/>
      <c r="F78" s="342"/>
      <c r="G78" s="342"/>
    </row>
    <row r="79" spans="2:7" s="258" customFormat="1">
      <c r="B79" s="256"/>
      <c r="C79" s="342"/>
      <c r="D79" s="342"/>
      <c r="F79" s="342"/>
      <c r="G79" s="342"/>
    </row>
    <row r="80" spans="2:7" s="258" customFormat="1">
      <c r="B80" s="256"/>
      <c r="C80" s="342"/>
      <c r="D80" s="342"/>
      <c r="F80" s="342"/>
      <c r="G80" s="342"/>
    </row>
    <row r="81" spans="2:7" s="258" customFormat="1">
      <c r="B81" s="256"/>
      <c r="C81" s="342"/>
      <c r="D81" s="342"/>
      <c r="F81" s="342"/>
      <c r="G81" s="342"/>
    </row>
    <row r="82" spans="2:7" s="258" customFormat="1">
      <c r="B82" s="256"/>
      <c r="C82" s="342"/>
      <c r="D82" s="342"/>
      <c r="F82" s="342"/>
      <c r="G82" s="342"/>
    </row>
    <row r="83" spans="2:7" s="258" customFormat="1">
      <c r="B83" s="256"/>
      <c r="C83" s="342"/>
      <c r="D83" s="342"/>
      <c r="F83" s="342"/>
      <c r="G83" s="342"/>
    </row>
    <row r="84" spans="2:7" s="258" customFormat="1">
      <c r="B84" s="256"/>
      <c r="C84" s="342"/>
      <c r="D84" s="342"/>
      <c r="F84" s="342"/>
      <c r="G84" s="342"/>
    </row>
    <row r="85" spans="2:7" s="258" customFormat="1">
      <c r="B85" s="256"/>
      <c r="C85" s="342"/>
      <c r="D85" s="342"/>
      <c r="F85" s="342"/>
      <c r="G85" s="342"/>
    </row>
    <row r="86" spans="2:7" s="258" customFormat="1">
      <c r="B86" s="256"/>
      <c r="C86" s="342"/>
      <c r="D86" s="342"/>
      <c r="F86" s="342"/>
      <c r="G86" s="342"/>
    </row>
    <row r="87" spans="2:7" s="258" customFormat="1">
      <c r="B87" s="256"/>
      <c r="C87" s="342"/>
      <c r="D87" s="342"/>
      <c r="F87" s="342"/>
      <c r="G87" s="342"/>
    </row>
    <row r="88" spans="2:7" s="258" customFormat="1">
      <c r="B88" s="256"/>
      <c r="C88" s="342"/>
      <c r="D88" s="342"/>
      <c r="F88" s="342"/>
      <c r="G88" s="342"/>
    </row>
    <row r="89" spans="2:7" s="258" customFormat="1">
      <c r="B89" s="256"/>
      <c r="C89" s="342"/>
      <c r="D89" s="342"/>
      <c r="F89" s="342"/>
      <c r="G89" s="342"/>
    </row>
    <row r="90" spans="2:7" s="258" customFormat="1">
      <c r="B90" s="256"/>
      <c r="C90" s="342"/>
      <c r="D90" s="342"/>
      <c r="F90" s="342"/>
      <c r="G90" s="342"/>
    </row>
    <row r="91" spans="2:7" s="258" customFormat="1">
      <c r="B91" s="256"/>
      <c r="C91" s="342"/>
      <c r="D91" s="342"/>
      <c r="F91" s="342"/>
      <c r="G91" s="342"/>
    </row>
    <row r="92" spans="2:7" s="258" customFormat="1">
      <c r="B92" s="256"/>
      <c r="C92" s="342"/>
      <c r="D92" s="342"/>
      <c r="F92" s="342"/>
      <c r="G92" s="342"/>
    </row>
    <row r="93" spans="2:7" s="258" customFormat="1">
      <c r="B93" s="256"/>
      <c r="C93" s="342"/>
      <c r="D93" s="342"/>
      <c r="F93" s="342"/>
      <c r="G93" s="342"/>
    </row>
    <row r="94" spans="2:7" s="258" customFormat="1">
      <c r="B94" s="256"/>
      <c r="C94" s="342"/>
      <c r="D94" s="342"/>
      <c r="F94" s="342"/>
      <c r="G94" s="342"/>
    </row>
    <row r="95" spans="2:7" s="258" customFormat="1">
      <c r="B95" s="256"/>
      <c r="C95" s="342"/>
      <c r="D95" s="342"/>
      <c r="F95" s="342"/>
      <c r="G95" s="342"/>
    </row>
    <row r="96" spans="2:7" s="258" customFormat="1">
      <c r="B96" s="256"/>
      <c r="C96" s="342"/>
      <c r="D96" s="342"/>
      <c r="F96" s="342"/>
      <c r="G96" s="342"/>
    </row>
    <row r="97" spans="2:7" s="258" customFormat="1">
      <c r="B97" s="256"/>
      <c r="C97" s="342"/>
      <c r="D97" s="342"/>
      <c r="F97" s="342"/>
      <c r="G97" s="342"/>
    </row>
    <row r="98" spans="2:7" s="258" customFormat="1">
      <c r="B98" s="256"/>
      <c r="C98" s="342"/>
      <c r="D98" s="342"/>
      <c r="F98" s="342"/>
      <c r="G98" s="342"/>
    </row>
    <row r="99" spans="2:7" s="258" customFormat="1">
      <c r="B99" s="256"/>
      <c r="C99" s="342"/>
      <c r="D99" s="342"/>
      <c r="F99" s="342"/>
      <c r="G99" s="342"/>
    </row>
    <row r="100" spans="2:7" s="258" customFormat="1">
      <c r="B100" s="256"/>
      <c r="C100" s="342"/>
      <c r="D100" s="342"/>
      <c r="F100" s="342"/>
      <c r="G100" s="342"/>
    </row>
    <row r="101" spans="2:7" s="258" customFormat="1">
      <c r="B101" s="256"/>
      <c r="C101" s="342"/>
      <c r="D101" s="342"/>
      <c r="F101" s="342"/>
      <c r="G101" s="342"/>
    </row>
    <row r="102" spans="2:7" s="258" customFormat="1">
      <c r="B102" s="256"/>
      <c r="C102" s="342"/>
      <c r="D102" s="342"/>
      <c r="F102" s="342"/>
      <c r="G102" s="342"/>
    </row>
    <row r="103" spans="2:7" s="258" customFormat="1">
      <c r="B103" s="256"/>
      <c r="C103" s="342"/>
      <c r="D103" s="342"/>
      <c r="F103" s="342"/>
      <c r="G103" s="342"/>
    </row>
    <row r="104" spans="2:7" s="258" customFormat="1">
      <c r="B104" s="256"/>
      <c r="C104" s="342"/>
      <c r="D104" s="342"/>
      <c r="F104" s="342"/>
      <c r="G104" s="342"/>
    </row>
    <row r="105" spans="2:7" s="258" customFormat="1">
      <c r="B105" s="256"/>
      <c r="C105" s="342"/>
      <c r="D105" s="342"/>
      <c r="F105" s="342"/>
      <c r="G105" s="342"/>
    </row>
    <row r="106" spans="2:7" s="258" customFormat="1">
      <c r="B106" s="256"/>
      <c r="C106" s="342"/>
      <c r="D106" s="342"/>
      <c r="F106" s="342"/>
      <c r="G106" s="342"/>
    </row>
    <row r="107" spans="2:7" s="258" customFormat="1">
      <c r="B107" s="256"/>
      <c r="C107" s="342"/>
      <c r="D107" s="342"/>
      <c r="F107" s="342"/>
      <c r="G107" s="342"/>
    </row>
    <row r="108" spans="2:7" s="258" customFormat="1">
      <c r="B108" s="256"/>
      <c r="C108" s="342"/>
      <c r="D108" s="342"/>
      <c r="F108" s="342"/>
      <c r="G108" s="342"/>
    </row>
    <row r="109" spans="2:7" s="258" customFormat="1">
      <c r="B109" s="256"/>
      <c r="C109" s="342"/>
      <c r="D109" s="342"/>
      <c r="F109" s="342"/>
      <c r="G109" s="342"/>
    </row>
    <row r="110" spans="2:7" s="258" customFormat="1">
      <c r="B110" s="256"/>
      <c r="C110" s="342"/>
      <c r="D110" s="342"/>
      <c r="F110" s="342"/>
      <c r="G110" s="342"/>
    </row>
    <row r="111" spans="2:7" s="258" customFormat="1">
      <c r="B111" s="256"/>
      <c r="C111" s="342"/>
      <c r="D111" s="342"/>
      <c r="F111" s="342"/>
      <c r="G111" s="342"/>
    </row>
    <row r="112" spans="2:7" s="258" customFormat="1">
      <c r="B112" s="256"/>
      <c r="C112" s="342"/>
      <c r="D112" s="342"/>
      <c r="F112" s="342"/>
      <c r="G112" s="342"/>
    </row>
    <row r="113" spans="2:7" s="258" customFormat="1">
      <c r="B113" s="256"/>
      <c r="C113" s="342"/>
      <c r="D113" s="342"/>
      <c r="F113" s="342"/>
      <c r="G113" s="342"/>
    </row>
    <row r="114" spans="2:7" s="258" customFormat="1">
      <c r="B114" s="256"/>
      <c r="C114" s="342"/>
      <c r="D114" s="342"/>
      <c r="F114" s="342"/>
      <c r="G114" s="342"/>
    </row>
    <row r="115" spans="2:7" s="258" customFormat="1">
      <c r="B115" s="256"/>
      <c r="C115" s="342"/>
      <c r="D115" s="342"/>
      <c r="F115" s="342"/>
      <c r="G115" s="342"/>
    </row>
    <row r="116" spans="2:7" s="258" customFormat="1">
      <c r="B116" s="256"/>
      <c r="C116" s="342"/>
      <c r="D116" s="342"/>
      <c r="F116" s="342"/>
      <c r="G116" s="342"/>
    </row>
    <row r="117" spans="2:7" s="258" customFormat="1">
      <c r="B117" s="256"/>
      <c r="C117" s="342"/>
      <c r="D117" s="342"/>
      <c r="F117" s="342"/>
      <c r="G117" s="342"/>
    </row>
    <row r="118" spans="2:7" s="258" customFormat="1">
      <c r="B118" s="256"/>
      <c r="C118" s="342"/>
      <c r="D118" s="342"/>
      <c r="F118" s="342"/>
      <c r="G118" s="342"/>
    </row>
    <row r="119" spans="2:7" s="258" customFormat="1">
      <c r="B119" s="256"/>
      <c r="C119" s="342"/>
      <c r="D119" s="342"/>
      <c r="F119" s="342"/>
      <c r="G119" s="342"/>
    </row>
    <row r="120" spans="2:7" s="258" customFormat="1">
      <c r="B120" s="256"/>
      <c r="C120" s="342"/>
      <c r="D120" s="342"/>
      <c r="F120" s="342"/>
      <c r="G120" s="342"/>
    </row>
    <row r="121" spans="2:7" s="258" customFormat="1">
      <c r="B121" s="256"/>
      <c r="C121" s="342"/>
      <c r="D121" s="342"/>
      <c r="F121" s="342"/>
      <c r="G121" s="342"/>
    </row>
    <row r="122" spans="2:7" s="258" customFormat="1">
      <c r="B122" s="256"/>
      <c r="C122" s="342"/>
      <c r="D122" s="342"/>
      <c r="F122" s="342"/>
      <c r="G122" s="342"/>
    </row>
    <row r="123" spans="2:7" s="258" customFormat="1">
      <c r="B123" s="256"/>
      <c r="C123" s="342"/>
      <c r="D123" s="342"/>
      <c r="F123" s="342"/>
      <c r="G123" s="342"/>
    </row>
    <row r="124" spans="2:7" s="258" customFormat="1">
      <c r="B124" s="256"/>
      <c r="C124" s="342"/>
      <c r="D124" s="342"/>
      <c r="F124" s="342"/>
      <c r="G124" s="342"/>
    </row>
    <row r="125" spans="2:7" s="258" customFormat="1">
      <c r="B125" s="256"/>
      <c r="C125" s="342"/>
      <c r="D125" s="342"/>
      <c r="F125" s="342"/>
      <c r="G125" s="342"/>
    </row>
    <row r="126" spans="2:7" s="258" customFormat="1">
      <c r="B126" s="256"/>
      <c r="C126" s="342"/>
      <c r="D126" s="342"/>
      <c r="F126" s="342"/>
      <c r="G126" s="342"/>
    </row>
    <row r="127" spans="2:7" s="258" customFormat="1">
      <c r="B127" s="256"/>
      <c r="C127" s="342"/>
      <c r="D127" s="342"/>
      <c r="F127" s="342"/>
      <c r="G127" s="342"/>
    </row>
    <row r="128" spans="2:7" s="258" customFormat="1">
      <c r="B128" s="256"/>
      <c r="C128" s="342"/>
      <c r="D128" s="342"/>
      <c r="F128" s="342"/>
      <c r="G128" s="342"/>
    </row>
    <row r="129" spans="2:7" s="258" customFormat="1">
      <c r="B129" s="256"/>
      <c r="C129" s="342"/>
      <c r="D129" s="342"/>
      <c r="F129" s="342"/>
      <c r="G129" s="342"/>
    </row>
    <row r="130" spans="2:7" s="258" customFormat="1">
      <c r="B130" s="256"/>
      <c r="C130" s="342"/>
      <c r="D130" s="342"/>
      <c r="F130" s="342"/>
      <c r="G130" s="342"/>
    </row>
    <row r="131" spans="2:7" s="258" customFormat="1">
      <c r="B131" s="256"/>
      <c r="C131" s="342"/>
      <c r="D131" s="342"/>
      <c r="F131" s="342"/>
      <c r="G131" s="342"/>
    </row>
    <row r="132" spans="2:7" s="258" customFormat="1">
      <c r="B132" s="256"/>
      <c r="C132" s="342"/>
      <c r="D132" s="342"/>
      <c r="F132" s="342"/>
      <c r="G132" s="342"/>
    </row>
    <row r="133" spans="2:7" s="258" customFormat="1">
      <c r="B133" s="256"/>
      <c r="C133" s="342"/>
      <c r="D133" s="342"/>
      <c r="F133" s="342"/>
      <c r="G133" s="342"/>
    </row>
    <row r="134" spans="2:7" s="258" customFormat="1">
      <c r="B134" s="256"/>
      <c r="C134" s="342"/>
      <c r="D134" s="342"/>
      <c r="F134" s="342"/>
      <c r="G134" s="342"/>
    </row>
    <row r="135" spans="2:7" s="258" customFormat="1">
      <c r="B135" s="256"/>
      <c r="C135" s="342"/>
      <c r="D135" s="342"/>
      <c r="F135" s="342"/>
      <c r="G135" s="342"/>
    </row>
    <row r="136" spans="2:7" s="258" customFormat="1">
      <c r="B136" s="256"/>
      <c r="C136" s="342"/>
      <c r="D136" s="342"/>
      <c r="F136" s="342"/>
      <c r="G136" s="342"/>
    </row>
    <row r="137" spans="2:7" s="258" customFormat="1">
      <c r="B137" s="256"/>
      <c r="C137" s="342"/>
      <c r="D137" s="342"/>
      <c r="F137" s="342"/>
      <c r="G137" s="342"/>
    </row>
    <row r="138" spans="2:7" s="258" customFormat="1">
      <c r="B138" s="256"/>
      <c r="C138" s="342"/>
      <c r="D138" s="342"/>
      <c r="F138" s="342"/>
      <c r="G138" s="342"/>
    </row>
    <row r="139" spans="2:7" s="258" customFormat="1">
      <c r="B139" s="256"/>
      <c r="C139" s="342"/>
      <c r="D139" s="342"/>
      <c r="F139" s="342"/>
      <c r="G139" s="342"/>
    </row>
    <row r="140" spans="2:7" s="258" customFormat="1">
      <c r="B140" s="256"/>
      <c r="C140" s="342"/>
      <c r="D140" s="342"/>
      <c r="F140" s="342"/>
      <c r="G140" s="342"/>
    </row>
    <row r="141" spans="2:7" s="258" customFormat="1">
      <c r="B141" s="256"/>
      <c r="C141" s="342"/>
      <c r="D141" s="342"/>
      <c r="F141" s="342"/>
      <c r="G141" s="342"/>
    </row>
    <row r="142" spans="2:7" s="258" customFormat="1">
      <c r="B142" s="256"/>
      <c r="C142" s="342"/>
      <c r="D142" s="342"/>
      <c r="F142" s="342"/>
      <c r="G142" s="342"/>
    </row>
    <row r="143" spans="2:7" s="258" customFormat="1">
      <c r="B143" s="256"/>
      <c r="C143" s="342"/>
      <c r="D143" s="342"/>
      <c r="F143" s="342"/>
      <c r="G143" s="342"/>
    </row>
    <row r="144" spans="2:7" s="258" customFormat="1">
      <c r="B144" s="256"/>
      <c r="C144" s="342"/>
      <c r="D144" s="342"/>
      <c r="F144" s="342"/>
      <c r="G144" s="342"/>
    </row>
    <row r="145" spans="2:7" s="258" customFormat="1">
      <c r="B145" s="256"/>
      <c r="C145" s="342"/>
      <c r="D145" s="342"/>
      <c r="F145" s="342"/>
      <c r="G145" s="342"/>
    </row>
    <row r="146" spans="2:7" s="258" customFormat="1">
      <c r="B146" s="256"/>
      <c r="C146" s="342"/>
      <c r="D146" s="342"/>
      <c r="F146" s="342"/>
      <c r="G146" s="342"/>
    </row>
    <row r="147" spans="2:7" s="258" customFormat="1">
      <c r="B147" s="256"/>
      <c r="C147" s="342"/>
      <c r="D147" s="342"/>
      <c r="F147" s="342"/>
      <c r="G147" s="342"/>
    </row>
    <row r="148" spans="2:7" s="258" customFormat="1">
      <c r="B148" s="256"/>
      <c r="C148" s="342"/>
      <c r="D148" s="342"/>
      <c r="F148" s="342"/>
      <c r="G148" s="342"/>
    </row>
    <row r="149" spans="2:7" s="258" customFormat="1">
      <c r="B149" s="256"/>
      <c r="C149" s="342"/>
      <c r="D149" s="342"/>
      <c r="F149" s="342"/>
      <c r="G149" s="342"/>
    </row>
    <row r="150" spans="2:7" s="258" customFormat="1">
      <c r="B150" s="256"/>
      <c r="C150" s="342"/>
      <c r="D150" s="342"/>
      <c r="F150" s="342"/>
      <c r="G150" s="342"/>
    </row>
    <row r="151" spans="2:7" s="258" customFormat="1">
      <c r="B151" s="256"/>
      <c r="C151" s="342"/>
      <c r="D151" s="342"/>
      <c r="F151" s="342"/>
      <c r="G151" s="342"/>
    </row>
    <row r="152" spans="2:7" s="258" customFormat="1">
      <c r="B152" s="256"/>
      <c r="C152" s="342"/>
      <c r="D152" s="342"/>
      <c r="F152" s="342"/>
      <c r="G152" s="342"/>
    </row>
    <row r="153" spans="2:7" s="258" customFormat="1">
      <c r="B153" s="256"/>
      <c r="C153" s="342"/>
      <c r="D153" s="342"/>
      <c r="F153" s="342"/>
      <c r="G153" s="342"/>
    </row>
    <row r="154" spans="2:7" s="258" customFormat="1">
      <c r="B154" s="256"/>
      <c r="C154" s="342"/>
      <c r="D154" s="342"/>
      <c r="F154" s="342"/>
      <c r="G154" s="342"/>
    </row>
    <row r="155" spans="2:7" s="258" customFormat="1">
      <c r="B155" s="256"/>
      <c r="C155" s="342"/>
      <c r="D155" s="342"/>
      <c r="F155" s="342"/>
      <c r="G155" s="342"/>
    </row>
    <row r="156" spans="2:7" s="258" customFormat="1">
      <c r="B156" s="256"/>
      <c r="C156" s="342"/>
      <c r="D156" s="342"/>
      <c r="F156" s="342"/>
      <c r="G156" s="342"/>
    </row>
    <row r="157" spans="2:7" s="258" customFormat="1">
      <c r="B157" s="256"/>
      <c r="C157" s="342"/>
      <c r="D157" s="342"/>
      <c r="F157" s="342"/>
      <c r="G157" s="342"/>
    </row>
    <row r="158" spans="2:7" s="258" customFormat="1">
      <c r="B158" s="256"/>
      <c r="C158" s="342"/>
      <c r="D158" s="342"/>
      <c r="F158" s="342"/>
      <c r="G158" s="342"/>
    </row>
    <row r="159" spans="2:7" s="258" customFormat="1">
      <c r="B159" s="256"/>
      <c r="C159" s="342"/>
      <c r="D159" s="342"/>
      <c r="F159" s="342"/>
      <c r="G159" s="342"/>
    </row>
    <row r="160" spans="2:7" s="258" customFormat="1">
      <c r="B160" s="256"/>
      <c r="C160" s="342"/>
      <c r="D160" s="342"/>
      <c r="F160" s="342"/>
      <c r="G160" s="342"/>
    </row>
    <row r="161" spans="2:7" s="258" customFormat="1">
      <c r="B161" s="256"/>
      <c r="C161" s="342"/>
      <c r="D161" s="342"/>
      <c r="F161" s="342"/>
      <c r="G161" s="342"/>
    </row>
    <row r="162" spans="2:7" s="258" customFormat="1">
      <c r="B162" s="256"/>
      <c r="C162" s="342"/>
      <c r="D162" s="342"/>
      <c r="F162" s="342"/>
      <c r="G162" s="342"/>
    </row>
    <row r="163" spans="2:7" s="258" customFormat="1">
      <c r="B163" s="256"/>
      <c r="C163" s="342"/>
      <c r="D163" s="342"/>
      <c r="F163" s="342"/>
      <c r="G163" s="342"/>
    </row>
    <row r="164" spans="2:7" s="258" customFormat="1">
      <c r="B164" s="256"/>
      <c r="C164" s="342"/>
      <c r="D164" s="342"/>
      <c r="F164" s="342"/>
      <c r="G164" s="342"/>
    </row>
    <row r="165" spans="2:7" s="258" customFormat="1">
      <c r="B165" s="256"/>
      <c r="C165" s="342"/>
      <c r="D165" s="342"/>
      <c r="F165" s="342"/>
      <c r="G165" s="342"/>
    </row>
    <row r="166" spans="2:7" s="258" customFormat="1">
      <c r="B166" s="256"/>
      <c r="C166" s="342"/>
      <c r="D166" s="342"/>
      <c r="F166" s="342"/>
      <c r="G166" s="342"/>
    </row>
    <row r="167" spans="2:7" s="258" customFormat="1">
      <c r="B167" s="256"/>
      <c r="C167" s="342"/>
      <c r="D167" s="342"/>
      <c r="F167" s="342"/>
      <c r="G167" s="342"/>
    </row>
    <row r="168" spans="2:7" s="258" customFormat="1">
      <c r="B168" s="256"/>
      <c r="C168" s="342"/>
      <c r="D168" s="342"/>
      <c r="F168" s="342"/>
      <c r="G168" s="342"/>
    </row>
    <row r="169" spans="2:7" s="258" customFormat="1">
      <c r="B169" s="256"/>
      <c r="C169" s="342"/>
      <c r="D169" s="342"/>
      <c r="F169" s="342"/>
      <c r="G169" s="342"/>
    </row>
    <row r="170" spans="2:7" s="258" customFormat="1">
      <c r="B170" s="256"/>
      <c r="C170" s="342"/>
      <c r="D170" s="342"/>
      <c r="F170" s="342"/>
      <c r="G170" s="342"/>
    </row>
    <row r="171" spans="2:7" s="258" customFormat="1">
      <c r="B171" s="256"/>
      <c r="C171" s="342"/>
      <c r="D171" s="342"/>
      <c r="F171" s="342"/>
      <c r="G171" s="342"/>
    </row>
    <row r="172" spans="2:7" s="258" customFormat="1">
      <c r="B172" s="256"/>
      <c r="C172" s="342"/>
      <c r="D172" s="342"/>
      <c r="F172" s="342"/>
      <c r="G172" s="342"/>
    </row>
    <row r="173" spans="2:7" s="258" customFormat="1">
      <c r="B173" s="256"/>
      <c r="C173" s="342"/>
      <c r="D173" s="342"/>
      <c r="F173" s="342"/>
      <c r="G173" s="342"/>
    </row>
    <row r="174" spans="2:7" s="258" customFormat="1">
      <c r="B174" s="256"/>
      <c r="C174" s="342"/>
      <c r="D174" s="342"/>
      <c r="F174" s="342"/>
      <c r="G174" s="342"/>
    </row>
    <row r="175" spans="2:7" s="258" customFormat="1">
      <c r="B175" s="256"/>
      <c r="C175" s="342"/>
      <c r="D175" s="342"/>
      <c r="F175" s="342"/>
      <c r="G175" s="342"/>
    </row>
    <row r="176" spans="2:7" s="258" customFormat="1">
      <c r="B176" s="256"/>
      <c r="C176" s="342"/>
      <c r="D176" s="342"/>
      <c r="F176" s="342"/>
      <c r="G176" s="342"/>
    </row>
    <row r="177" spans="2:10" s="258" customFormat="1">
      <c r="B177" s="256"/>
      <c r="C177" s="342"/>
      <c r="D177" s="342"/>
      <c r="E177" s="632"/>
      <c r="F177" s="662"/>
      <c r="G177" s="662"/>
      <c r="H177" s="686"/>
      <c r="I177" s="686"/>
      <c r="J177" s="686"/>
    </row>
    <row r="178" spans="2:10" s="258" customFormat="1">
      <c r="B178" s="256"/>
      <c r="C178" s="342"/>
      <c r="D178" s="342"/>
      <c r="E178" s="632"/>
      <c r="F178" s="662"/>
      <c r="G178" s="662"/>
      <c r="H178" s="686"/>
      <c r="I178" s="686"/>
      <c r="J178" s="686"/>
    </row>
    <row r="179" spans="2:10" s="258" customFormat="1">
      <c r="B179" s="256"/>
      <c r="C179" s="342"/>
      <c r="D179" s="342"/>
      <c r="E179" s="632"/>
      <c r="F179" s="662"/>
      <c r="G179" s="662"/>
      <c r="H179" s="686"/>
      <c r="I179" s="686"/>
      <c r="J179" s="686"/>
    </row>
    <row r="180" spans="2:10" s="258" customFormat="1">
      <c r="B180" s="256"/>
      <c r="C180" s="342"/>
      <c r="D180" s="342"/>
      <c r="E180" s="632"/>
      <c r="F180" s="662"/>
      <c r="G180" s="662"/>
      <c r="H180" s="686"/>
      <c r="I180" s="686"/>
      <c r="J180" s="686"/>
    </row>
  </sheetData>
  <sheetProtection formatCells="0" formatColumns="0" formatRows="0" insertColumns="0" insertRows="0" insertHyperlinks="0" deleteColumns="0" deleteRows="0" sort="0" autoFilter="0" pivotTables="0"/>
  <mergeCells count="8">
    <mergeCell ref="A1:A2"/>
    <mergeCell ref="E1:G2"/>
    <mergeCell ref="L1:L2"/>
    <mergeCell ref="M1:M2"/>
    <mergeCell ref="B22:J22"/>
    <mergeCell ref="H1:J2"/>
    <mergeCell ref="B1:D2"/>
    <mergeCell ref="B19:J19"/>
  </mergeCells>
  <hyperlinks>
    <hyperlink ref="L1" location="ГЛАВНАЯ!A1" display="На главную" xr:uid="{00000000-0004-0000-0D00-000000000000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1"/>
  <dimension ref="A1:J20"/>
  <sheetViews>
    <sheetView zoomScale="115" zoomScaleNormal="115" workbookViewId="0">
      <pane xSplit="3" ySplit="1" topLeftCell="D2" activePane="bottomRight" state="frozen"/>
      <selection pane="topRight" activeCell="D1" sqref="D1"/>
      <selection pane="bottomLeft" activeCell="A4" sqref="A4"/>
      <selection pane="bottomRight" activeCell="L9" sqref="L9"/>
    </sheetView>
  </sheetViews>
  <sheetFormatPr defaultRowHeight="14.3"/>
  <cols>
    <col min="1" max="1" width="44.75" customWidth="1"/>
    <col min="2" max="2" width="4.375" style="13" bestFit="1" customWidth="1"/>
    <col min="3" max="3" width="6" bestFit="1" customWidth="1"/>
    <col min="4" max="4" width="5.75" bestFit="1" customWidth="1"/>
    <col min="5" max="5" width="4.375" style="13" bestFit="1" customWidth="1"/>
    <col min="6" max="6" width="6" bestFit="1" customWidth="1"/>
    <col min="7" max="7" width="5.75" bestFit="1" customWidth="1"/>
    <col min="8" max="8" width="4.375" style="13" bestFit="1" customWidth="1"/>
    <col min="9" max="9" width="6" bestFit="1" customWidth="1"/>
    <col min="10" max="10" width="5.75" bestFit="1" customWidth="1"/>
  </cols>
  <sheetData>
    <row r="1" spans="1:10" ht="19.05">
      <c r="A1" s="118" t="s">
        <v>2</v>
      </c>
      <c r="B1" s="118" t="s">
        <v>1186</v>
      </c>
      <c r="C1" s="121" t="s">
        <v>1185</v>
      </c>
      <c r="D1" s="119" t="s">
        <v>1187</v>
      </c>
      <c r="E1" s="118" t="s">
        <v>1186</v>
      </c>
      <c r="F1" s="121" t="s">
        <v>1185</v>
      </c>
      <c r="G1" s="119" t="s">
        <v>1187</v>
      </c>
      <c r="H1" s="118" t="s">
        <v>1186</v>
      </c>
      <c r="I1" s="121" t="s">
        <v>1185</v>
      </c>
      <c r="J1" s="119" t="s">
        <v>1187</v>
      </c>
    </row>
    <row r="2" spans="1:10" ht="14.95" customHeight="1">
      <c r="A2" s="9" t="s">
        <v>1191</v>
      </c>
      <c r="B2" s="42"/>
      <c r="C2" s="122"/>
      <c r="D2" s="120"/>
      <c r="E2" s="42"/>
      <c r="F2" s="122"/>
      <c r="G2" s="120"/>
      <c r="H2" s="42"/>
      <c r="I2" s="122"/>
      <c r="J2" s="120"/>
    </row>
    <row r="3" spans="1:10">
      <c r="A3" s="7" t="s">
        <v>5</v>
      </c>
      <c r="B3" s="123">
        <f>('Цены на металл '!$X3*7.85*'Цены на металл '!$G$3/1000)*'Цены на металл '!$G$4*1.25</f>
        <v>102.42876249999998</v>
      </c>
      <c r="C3" s="124">
        <f>('Цены на металл '!$X3*7.85*'Цены на металл '!$J$3/1000)*('Цены на металл '!$J$4*1.3)+('Цены на металл '!J$5*'Цены на металл '!$X3*7.85*'Цены на металл '!$J$3/1000)</f>
        <v>155.90413999999998</v>
      </c>
      <c r="D3" s="125">
        <f>('Цены на металл '!$X3*7.85*'Цены на металл '!$P$3/1000)*'Цены на металл '!$P$4*1.8</f>
        <v>556.15679999999998</v>
      </c>
      <c r="E3" s="123">
        <f>('Цены на металл '!$X3*7.85*'Цены на металл '!$G$3/1000)*'Цены на металл '!$G$4*1.25</f>
        <v>102.42876249999998</v>
      </c>
      <c r="F3" s="124">
        <f>('Цены на металл '!$X3*7.85*'Цены на металл '!$J$3/1000)*('Цены на металл '!$J$4*1.3)+('Цены на металл '!M$5*'Цены на металл '!$X3*7.85*'Цены на металл '!$J$3/1000)</f>
        <v>95.396339999999995</v>
      </c>
      <c r="G3" s="125">
        <f>('Цены на металл '!$X3*7.85*'Цены на металл '!$P$3/1000)*'Цены на металл '!$P$4*1.8</f>
        <v>556.15679999999998</v>
      </c>
      <c r="H3" s="123">
        <f>('Цены на металл '!$X3*7.85*'Цены на металл '!$G$3/1000)*'Цены на металл '!$G$4*1.25</f>
        <v>102.42876249999998</v>
      </c>
      <c r="I3" s="124">
        <f>('Цены на металл '!$X3*7.85*'Цены на металл '!$J$3/1000)*('Цены на металл '!$J$4*1.3)+('Цены на металл '!P$5*'Цены на металл '!$X3*7.85*'Цены на металл '!$J$3/1000)</f>
        <v>95.396339999999995</v>
      </c>
      <c r="J3" s="125">
        <f>('Цены на металл '!$X3*7.85*'Цены на металл '!$P$3/1000)*'Цены на металл '!$P$4*1.8</f>
        <v>556.15679999999998</v>
      </c>
    </row>
    <row r="4" spans="1:10">
      <c r="A4" s="7" t="s">
        <v>6</v>
      </c>
      <c r="B4" s="123">
        <f>('Цены на металл '!$X4*7.85*'Цены на металл '!$G$3/1000)*'Цены на металл '!$G$4*1.25</f>
        <v>119.91659999999997</v>
      </c>
      <c r="C4" s="124">
        <f>('Цены на металл '!$X4*7.85*'Цены на металл '!$J$3/1000)*('Цены на металл '!$J$4*1.3)+('Цены на металл '!J$5*'Цены на металл '!$X4*7.85*'Цены на металл '!$J$3/1000)</f>
        <v>182.52191999999999</v>
      </c>
      <c r="D4" s="125">
        <f>('Цены на металл '!$X4*7.85*'Цены на металл '!$P$3/1000)*'Цены на металл '!$P$4*1.8</f>
        <v>651.11039999999991</v>
      </c>
      <c r="E4" s="123">
        <f>('Цены на металл '!$X4*7.85*'Цены на металл '!$G$3/1000)*'Цены на металл '!$G$4*1.25</f>
        <v>119.91659999999997</v>
      </c>
      <c r="F4" s="124">
        <f>('Цены на металл '!$X4*7.85*'Цены на металл '!$J$3/1000)*('Цены на металл '!$J$4*1.3)+('Цены на металл '!M$5*'Цены на металл '!$X4*7.85*'Цены на металл '!$J$3/1000)</f>
        <v>111.68352</v>
      </c>
      <c r="G4" s="125">
        <f>('Цены на металл '!$X4*7.85*'Цены на металл '!$P$3/1000)*'Цены на металл '!$P$4*1.8</f>
        <v>651.11039999999991</v>
      </c>
      <c r="H4" s="123">
        <f>('Цены на металл '!$X4*7.85*'Цены на металл '!$G$3/1000)*'Цены на металл '!$G$4*1.25</f>
        <v>119.91659999999997</v>
      </c>
      <c r="I4" s="124">
        <f>('Цены на металл '!$X4*7.85*'Цены на металл '!$J$3/1000)*('Цены на металл '!$J$4*1.3)+('Цены на металл '!P$5*'Цены на металл '!$X4*7.85*'Цены на металл '!$J$3/1000)</f>
        <v>111.68352</v>
      </c>
      <c r="J4" s="125">
        <f>('Цены на металл '!$X4*7.85*'Цены на металл '!$P$3/1000)*'Цены на металл '!$P$4*1.8</f>
        <v>651.11039999999991</v>
      </c>
    </row>
    <row r="5" spans="1:10">
      <c r="A5" s="7" t="s">
        <v>19</v>
      </c>
      <c r="B5" s="123">
        <f>('Цены на металл '!$X5*7.85*'Цены на металл '!$G$3/1000)*'Цены на металл '!$G$4*1.25</f>
        <v>67.453087499999995</v>
      </c>
      <c r="C5" s="124">
        <f>('Цены на металл '!$X5*7.85*'Цены на металл '!$J$3/1000)*('Цены на металл '!$J$4*1.3)+('Цены на металл '!J$5*'Цены на металл '!$X5*7.85*'Цены на металл '!$J$3/1000)</f>
        <v>102.66858000000001</v>
      </c>
      <c r="D5" s="125">
        <f>('Цены на металл '!$X5*7.85*'Цены на металл '!$P$3/1000)*'Цены на металл '!$P$4*1.8</f>
        <v>366.24960000000004</v>
      </c>
      <c r="E5" s="123">
        <f>('Цены на металл '!$X5*7.85*'Цены на металл '!$G$3/1000)*'Цены на металл '!$G$4*1.25</f>
        <v>67.453087499999995</v>
      </c>
      <c r="F5" s="124">
        <f>('Цены на металл '!$X5*7.85*'Цены на металл '!$J$3/1000)*('Цены на металл '!$J$4*1.3)+('Цены на металл '!M$5*'Цены на металл '!$X5*7.85*'Цены на металл '!$J$3/1000)</f>
        <v>62.821980000000011</v>
      </c>
      <c r="G5" s="125">
        <f>('Цены на металл '!$X5*7.85*'Цены на металл '!$P$3/1000)*'Цены на металл '!$P$4*1.8</f>
        <v>366.24960000000004</v>
      </c>
      <c r="H5" s="123">
        <f>('Цены на металл '!$X5*7.85*'Цены на металл '!$G$3/1000)*'Цены на металл '!$G$4*1.25</f>
        <v>67.453087499999995</v>
      </c>
      <c r="I5" s="124">
        <f>('Цены на металл '!$X5*7.85*'Цены на металл '!$J$3/1000)*('Цены на металл '!$J$4*1.3)+('Цены на металл '!P$5*'Цены на металл '!$X5*7.85*'Цены на металл '!$J$3/1000)</f>
        <v>62.821980000000011</v>
      </c>
      <c r="J5" s="125">
        <f>('Цены на металл '!$X5*7.85*'Цены на металл '!$P$3/1000)*'Цены на металл '!$P$4*1.8</f>
        <v>366.24960000000004</v>
      </c>
    </row>
    <row r="6" spans="1:10">
      <c r="A6" s="9" t="s">
        <v>14</v>
      </c>
      <c r="B6" s="9"/>
      <c r="C6" s="9"/>
      <c r="D6" s="9"/>
      <c r="E6" s="9"/>
      <c r="F6" s="9"/>
      <c r="G6" s="9"/>
      <c r="H6" s="9"/>
      <c r="I6" s="9"/>
      <c r="J6" s="9"/>
    </row>
    <row r="7" spans="1:10">
      <c r="A7" s="7" t="s">
        <v>7</v>
      </c>
      <c r="B7" s="123">
        <f>('Цены на металл '!$X7*7.85*'Цены на металл '!$G$3/1000)*'Цены на металл '!$G$4*1.25</f>
        <v>189.86795000000001</v>
      </c>
      <c r="C7" s="124">
        <f>('Цены на металл '!$X7*7.85*'Цены на металл '!$J$3/1000)*('Цены на металл '!$J$4*1.3)+('Цены на металл '!J$5*'Цены на металл '!$X7*7.85*'Цены на металл '!$J$3/1000)</f>
        <v>288.99304000000001</v>
      </c>
      <c r="D7" s="125">
        <f>('Цены на металл '!$X7*7.85*'Цены на металл '!$P$3/1000)*'Цены на металл '!$P$4*1.8</f>
        <v>1030.9248</v>
      </c>
      <c r="E7" s="123">
        <f>('Цены на металл '!$X7*7.85*'Цены на металл '!$G$3/1000)*'Цены на металл '!$G$4*1.25</f>
        <v>189.86795000000001</v>
      </c>
      <c r="F7" s="124">
        <f>('Цены на металл '!$X7*7.85*'Цены на металл '!$J$3/1000)*('Цены на металл '!$J$4*1.3)+('Цены на металл '!M$5*'Цены на металл '!$X7*7.85*'Цены на металл '!$J$3/1000)</f>
        <v>176.83224000000001</v>
      </c>
      <c r="G7" s="125">
        <f>('Цены на металл '!$X7*7.85*'Цены на металл '!$P$3/1000)*'Цены на металл '!$P$4*1.8</f>
        <v>1030.9248</v>
      </c>
      <c r="H7" s="123">
        <f>('Цены на металл '!$X7*7.85*'Цены на металл '!$G$3/1000)*'Цены на металл '!$G$4*1.25</f>
        <v>189.86795000000001</v>
      </c>
      <c r="I7" s="124">
        <f>('Цены на металл '!$X7*7.85*'Цены на металл '!$J$3/1000)*('Цены на металл '!$J$4*1.3)+('Цены на металл '!P$5*'Цены на металл '!$X7*7.85*'Цены на металл '!$J$3/1000)</f>
        <v>176.83224000000001</v>
      </c>
      <c r="J7" s="125">
        <f>('Цены на металл '!$X7*7.85*'Цены на металл '!$P$3/1000)*'Цены на металл '!$P$4*1.8</f>
        <v>1030.9248</v>
      </c>
    </row>
    <row r="8" spans="1:10">
      <c r="A8" s="7" t="s">
        <v>8</v>
      </c>
      <c r="B8" s="123">
        <f>('Цены на металл '!$X8*7.85*'Цены на металл '!$G$3/1000)*'Цены на металл '!$G$4*1.25</f>
        <v>144.89922499999997</v>
      </c>
      <c r="C8" s="124">
        <f>('Цены на металл '!$X8*7.85*'Цены на металл '!$J$3/1000)*('Цены на металл '!$J$4*1.3)+('Цены на металл '!J$5*'Цены на металл '!$X8*7.85*'Цены на металл '!$J$3/1000)</f>
        <v>220.54731999999998</v>
      </c>
      <c r="D8" s="125">
        <f>('Цены на металл '!$X8*7.85*'Цены на металл '!$P$3/1000)*'Цены на металл '!$P$4*1.8</f>
        <v>786.75839999999982</v>
      </c>
      <c r="E8" s="123">
        <f>('Цены на металл '!$X8*7.85*'Цены на металл '!$G$3/1000)*'Цены на металл '!$G$4*1.25</f>
        <v>144.89922499999997</v>
      </c>
      <c r="F8" s="124">
        <f>('Цены на металл '!$X8*7.85*'Цены на металл '!$J$3/1000)*('Цены на металл '!$J$4*1.3)+('Цены на металл '!M$5*'Цены на металл '!$X8*7.85*'Цены на металл '!$J$3/1000)</f>
        <v>134.95092</v>
      </c>
      <c r="G8" s="125">
        <f>('Цены на металл '!$X8*7.85*'Цены на металл '!$P$3/1000)*'Цены на металл '!$P$4*1.8</f>
        <v>786.75839999999982</v>
      </c>
      <c r="H8" s="123">
        <f>('Цены на металл '!$X8*7.85*'Цены на металл '!$G$3/1000)*'Цены на металл '!$G$4*1.25</f>
        <v>144.89922499999997</v>
      </c>
      <c r="I8" s="124">
        <f>('Цены на металл '!$X8*7.85*'Цены на металл '!$J$3/1000)*('Цены на металл '!$J$4*1.3)+('Цены на металл '!P$5*'Цены на металл '!$X8*7.85*'Цены на металл '!$J$3/1000)</f>
        <v>134.95092</v>
      </c>
      <c r="J8" s="125">
        <f>('Цены на металл '!$X8*7.85*'Цены на металл '!$P$3/1000)*'Цены на металл '!$P$4*1.8</f>
        <v>786.75839999999982</v>
      </c>
    </row>
    <row r="9" spans="1:10">
      <c r="A9" s="7" t="s">
        <v>9</v>
      </c>
      <c r="B9" s="123">
        <f>('Цены на металл '!$X9*7.85*'Цены на металл '!$G$3/1000)*'Цены на металл '!$G$4*1.25</f>
        <v>144.89922499999997</v>
      </c>
      <c r="C9" s="124">
        <f>('Цены на металл '!$X9*7.85*'Цены на металл '!$J$3/1000)*('Цены на металл '!$J$4*1.3)+('Цены на металл '!J$5*'Цены на металл '!$X9*7.85*'Цены на металл '!$J$3/1000)</f>
        <v>220.54731999999998</v>
      </c>
      <c r="D9" s="125">
        <f>('Цены на металл '!$X9*7.85*'Цены на металл '!$P$3/1000)*'Цены на металл '!$P$4*1.8</f>
        <v>786.75839999999982</v>
      </c>
      <c r="E9" s="123">
        <f>('Цены на металл '!$X9*7.85*'Цены на металл '!$G$3/1000)*'Цены на металл '!$G$4*1.25</f>
        <v>144.89922499999997</v>
      </c>
      <c r="F9" s="124">
        <f>('Цены на металл '!$X9*7.85*'Цены на металл '!$J$3/1000)*('Цены на металл '!$J$4*1.3)+('Цены на металл '!M$5*'Цены на металл '!$X9*7.85*'Цены на металл '!$J$3/1000)</f>
        <v>134.95092</v>
      </c>
      <c r="G9" s="125">
        <f>('Цены на металл '!$X9*7.85*'Цены на металл '!$P$3/1000)*'Цены на металл '!$P$4*1.8</f>
        <v>786.75839999999982</v>
      </c>
      <c r="H9" s="123">
        <f>('Цены на металл '!$X9*7.85*'Цены на металл '!$G$3/1000)*'Цены на металл '!$G$4*1.25</f>
        <v>144.89922499999997</v>
      </c>
      <c r="I9" s="124">
        <f>('Цены на металл '!$X9*7.85*'Цены на металл '!$J$3/1000)*('Цены на металл '!$J$4*1.3)+('Цены на металл '!P$5*'Цены на металл '!$X9*7.85*'Цены на металл '!$J$3/1000)</f>
        <v>134.95092</v>
      </c>
      <c r="J9" s="125">
        <f>('Цены на металл '!$X9*7.85*'Цены на металл '!$P$3/1000)*'Цены на металл '!$P$4*1.8</f>
        <v>786.75839999999982</v>
      </c>
    </row>
    <row r="10" spans="1:10">
      <c r="A10" s="7" t="s">
        <v>762</v>
      </c>
      <c r="B10" s="123">
        <f>('Цены на металл '!$X10*7.85*'Цены на металл '!$G$3/1000)*'Цены на металл '!$G$4*1.25</f>
        <v>68.70221875</v>
      </c>
      <c r="C10" s="124">
        <f>('Цены на металл '!$X10*7.85*'Цены на металл '!$J$3/1000)*('Цены на металл '!$J$4*1.3)+('Цены на металл '!J$5*'Цены на металл '!$X10*7.85*'Цены на металл '!$J$3/1000)</f>
        <v>104.56985</v>
      </c>
      <c r="D10" s="125">
        <f>('Цены на металл '!$X10*7.85*'Цены на металл '!$P$3/1000)*'Цены на металл '!$P$4*1.8</f>
        <v>373.03200000000004</v>
      </c>
      <c r="E10" s="123">
        <f>('Цены на металл '!$X10*7.85*'Цены на металл '!$G$3/1000)*'Цены на металл '!$G$4*1.25</f>
        <v>68.70221875</v>
      </c>
      <c r="F10" s="124">
        <f>('Цены на металл '!$X10*7.85*'Цены на металл '!$J$3/1000)*('Цены на металл '!$J$4*1.3)+('Цены на металл '!M$5*'Цены на металл '!$X10*7.85*'Цены на металл '!$J$3/1000)</f>
        <v>63.985350000000011</v>
      </c>
      <c r="G10" s="125">
        <f>('Цены на металл '!$X10*7.85*'Цены на металл '!$P$3/1000)*'Цены на металл '!$P$4*1.8</f>
        <v>373.03200000000004</v>
      </c>
      <c r="H10" s="123">
        <f>('Цены на металл '!$X10*7.85*'Цены на металл '!$G$3/1000)*'Цены на металл '!$G$4*1.25</f>
        <v>68.70221875</v>
      </c>
      <c r="I10" s="124">
        <f>('Цены на металл '!$X10*7.85*'Цены на металл '!$J$3/1000)*('Цены на металл '!$J$4*1.3)+('Цены на металл '!P$5*'Цены на металл '!$X10*7.85*'Цены на металл '!$J$3/1000)</f>
        <v>63.985350000000011</v>
      </c>
      <c r="J10" s="125">
        <f>('Цены на металл '!$X10*7.85*'Цены на металл '!$P$3/1000)*'Цены на металл '!$P$4*1.8</f>
        <v>373.03200000000004</v>
      </c>
    </row>
    <row r="11" spans="1:10">
      <c r="A11" s="9" t="s">
        <v>15</v>
      </c>
      <c r="B11" s="9"/>
      <c r="C11" s="9"/>
      <c r="D11" s="9"/>
      <c r="E11" s="9"/>
      <c r="F11" s="9"/>
      <c r="G11" s="9"/>
      <c r="H11" s="9"/>
      <c r="I11" s="9"/>
      <c r="J11" s="9"/>
    </row>
    <row r="12" spans="1:10" ht="15.8" customHeight="1">
      <c r="A12" s="7" t="s">
        <v>3</v>
      </c>
      <c r="B12" s="123">
        <f>('Цены на металл '!$X12*7.85*'Цены на металл '!$G$3/1000)*'Цены на металл '!$G$4*1.25</f>
        <v>164.88532499999997</v>
      </c>
      <c r="C12" s="124">
        <f>('Цены на металл '!$X12*7.85*'Цены на металл '!$J$3/1000)*('Цены на металл '!$J$4*1.3)+('Цены на металл '!J$5*'Цены на металл '!$X12*7.85*'Цены на металл '!$J$3/1000)</f>
        <v>250.96764000000002</v>
      </c>
      <c r="D12" s="125">
        <f>('Цены на металл '!$X12*7.85*'Цены на металл '!$P$3/1000)*'Цены на металл '!$P$4*1.8</f>
        <v>895.27679999999998</v>
      </c>
      <c r="E12" s="123">
        <f>('Цены на металл '!$X12*7.85*'Цены на металл '!$G$3/1000)*'Цены на металл '!$G$4*1.25</f>
        <v>164.88532499999997</v>
      </c>
      <c r="F12" s="124">
        <f>('Цены на металл '!$X12*7.85*'Цены на металл '!$J$3/1000)*('Цены на металл '!$J$4*1.3)+('Цены на металл '!M$5*'Цены на металл '!$X12*7.85*'Цены на металл '!$J$3/1000)</f>
        <v>153.56484000000003</v>
      </c>
      <c r="G12" s="125">
        <f>('Цены на металл '!$X12*7.85*'Цены на металл '!$P$3/1000)*'Цены на металл '!$P$4*1.8</f>
        <v>895.27679999999998</v>
      </c>
      <c r="H12" s="123">
        <f>('Цены на металл '!$X12*7.85*'Цены на металл '!$G$3/1000)*'Цены на металл '!$G$4*1.25</f>
        <v>164.88532499999997</v>
      </c>
      <c r="I12" s="124">
        <f>('Цены на металл '!$X12*7.85*'Цены на металл '!$J$3/1000)*('Цены на металл '!$J$4*1.3)+('Цены на металл '!P$5*'Цены на металл '!$X12*7.85*'Цены на металл '!$J$3/1000)</f>
        <v>153.56484000000003</v>
      </c>
      <c r="J12" s="125">
        <f>('Цены на металл '!$X12*7.85*'Цены на металл '!$P$3/1000)*'Цены на металл '!$P$4*1.8</f>
        <v>895.27679999999998</v>
      </c>
    </row>
    <row r="13" spans="1:10" ht="15.8" customHeight="1">
      <c r="A13" s="7" t="s">
        <v>4</v>
      </c>
      <c r="B13" s="123">
        <f>('Цены на металл '!$X13*7.85*'Цены на металл '!$G$3/1000)*'Цены на металл '!$G$4*1.25</f>
        <v>119.91659999999997</v>
      </c>
      <c r="C13" s="124">
        <f>('Цены на металл '!$X13*7.85*'Цены на металл '!$J$3/1000)*('Цены на металл '!$J$4*1.3)+('Цены на металл '!J$5*'Цены на металл '!$X13*7.85*'Цены на металл '!$J$3/1000)</f>
        <v>182.52191999999999</v>
      </c>
      <c r="D13" s="125">
        <f>('Цены на металл '!$X13*7.85*'Цены на металл '!$P$3/1000)*'Цены на металл '!$P$4*1.8</f>
        <v>651.11039999999991</v>
      </c>
      <c r="E13" s="123">
        <f>('Цены на металл '!$X13*7.85*'Цены на металл '!$G$3/1000)*'Цены на металл '!$G$4*1.25</f>
        <v>119.91659999999997</v>
      </c>
      <c r="F13" s="124">
        <f>('Цены на металл '!$X13*7.85*'Цены на металл '!$J$3/1000)*('Цены на металл '!$J$4*1.3)+('Цены на металл '!M$5*'Цены на металл '!$X13*7.85*'Цены на металл '!$J$3/1000)</f>
        <v>111.68352</v>
      </c>
      <c r="G13" s="125">
        <f>('Цены на металл '!$X13*7.85*'Цены на металл '!$P$3/1000)*'Цены на металл '!$P$4*1.8</f>
        <v>651.11039999999991</v>
      </c>
      <c r="H13" s="123">
        <f>('Цены на металл '!$X13*7.85*'Цены на металл '!$G$3/1000)*'Цены на металл '!$G$4*1.25</f>
        <v>119.91659999999997</v>
      </c>
      <c r="I13" s="124">
        <f>('Цены на металл '!$X13*7.85*'Цены на металл '!$J$3/1000)*('Цены на металл '!$J$4*1.3)+('Цены на металл '!P$5*'Цены на металл '!$X13*7.85*'Цены на металл '!$J$3/1000)</f>
        <v>111.68352</v>
      </c>
      <c r="J13" s="125">
        <f>('Цены на металл '!$X13*7.85*'Цены на металл '!$P$3/1000)*'Цены на металл '!$P$4*1.8</f>
        <v>651.11039999999991</v>
      </c>
    </row>
    <row r="14" spans="1:10" ht="14.95" customHeight="1">
      <c r="A14" s="7" t="s">
        <v>17</v>
      </c>
      <c r="B14" s="123">
        <f>('Цены на металл '!$X14*7.85*'Цены на металл '!$G$3/1000)*'Цены на металл '!$G$4*1.25</f>
        <v>108.67441874999999</v>
      </c>
      <c r="C14" s="124">
        <f>('Цены на металл '!$X14*7.85*'Цены на металл '!$J$3/1000)*('Цены на металл '!$J$4*1.3)+('Цены на металл '!J$5*'Цены на металл '!$X14*7.85*'Цены на металл '!$J$3/1000)</f>
        <v>165.41048999999998</v>
      </c>
      <c r="D14" s="125">
        <f>('Цены на металл '!$X14*7.85*'Цены на металл '!$P$3/1000)*'Цены на металл '!$P$4*1.8</f>
        <v>590.06880000000001</v>
      </c>
      <c r="E14" s="123">
        <f>('Цены на металл '!$X14*7.85*'Цены на металл '!$G$3/1000)*'Цены на металл '!$G$4*1.25</f>
        <v>108.67441874999999</v>
      </c>
      <c r="F14" s="124">
        <f>('Цены на металл '!$X14*7.85*'Цены на металл '!$J$3/1000)*('Цены на металл '!$J$4*1.3)+('Цены на металл '!M$5*'Цены на металл '!$X14*7.85*'Цены на металл '!$J$3/1000)</f>
        <v>101.21319</v>
      </c>
      <c r="G14" s="125">
        <f>('Цены на металл '!$X14*7.85*'Цены на металл '!$P$3/1000)*'Цены на металл '!$P$4*1.8</f>
        <v>590.06880000000001</v>
      </c>
      <c r="H14" s="123">
        <f>('Цены на металл '!$X14*7.85*'Цены на металл '!$G$3/1000)*'Цены на металл '!$G$4*1.25</f>
        <v>108.67441874999999</v>
      </c>
      <c r="I14" s="124">
        <f>('Цены на металл '!$X14*7.85*'Цены на металл '!$J$3/1000)*('Цены на металл '!$J$4*1.3)+('Цены на металл '!P$5*'Цены на металл '!$X14*7.85*'Цены на металл '!$J$3/1000)</f>
        <v>101.21319</v>
      </c>
      <c r="J14" s="125">
        <f>('Цены на металл '!$X14*7.85*'Цены на металл '!$P$3/1000)*'Цены на металл '!$P$4*1.8</f>
        <v>590.06880000000001</v>
      </c>
    </row>
    <row r="15" spans="1:10" ht="14.95" customHeight="1">
      <c r="A15" s="9" t="s">
        <v>16</v>
      </c>
      <c r="B15" s="9"/>
      <c r="C15" s="9"/>
      <c r="D15" s="9"/>
      <c r="E15" s="9"/>
      <c r="F15" s="9"/>
      <c r="G15" s="9"/>
      <c r="H15" s="9"/>
      <c r="I15" s="9"/>
      <c r="J15" s="9"/>
    </row>
    <row r="16" spans="1:10">
      <c r="A16" s="7" t="s">
        <v>60</v>
      </c>
      <c r="B16" s="123">
        <f>('Цены на металл '!$X17*7.85*'Цены на металл '!$G$3/1000)*'Цены на металл '!$G$4*1.25</f>
        <v>49.965249999999997</v>
      </c>
      <c r="C16" s="124">
        <f>('Цены на металл '!$X17*7.85*'Цены на металл '!$J$3/1000)*('Цены на металл '!$J$4*1.3)+('Цены на металл '!J$5*'Цены на металл '!$X17*7.85*'Цены на металл '!$J$3/1000)</f>
        <v>76.05080000000001</v>
      </c>
      <c r="D16" s="125">
        <f>('Цены на металл '!$X17*7.85*'Цены на металл '!$P$3/1000)*'Цены на металл '!$P$4*1.8</f>
        <v>271.29599999999999</v>
      </c>
      <c r="E16" s="123">
        <f>('Цены на металл '!$X17*7.85*'Цены на металл '!$G$3/1000)*'Цены на металл '!$G$4*1.25</f>
        <v>49.965249999999997</v>
      </c>
      <c r="F16" s="124">
        <f>('Цены на металл '!$X17*7.85*'Цены на металл '!$J$3/1000)*('Цены на металл '!$J$4*1.3)+('Цены на металл '!M$5*'Цены на металл '!$X17*7.85*'Цены на металл '!$J$3/1000)</f>
        <v>46.534800000000004</v>
      </c>
      <c r="G16" s="125">
        <f>('Цены на металл '!$X17*7.85*'Цены на металл '!$P$3/1000)*'Цены на металл '!$P$4*1.8</f>
        <v>271.29599999999999</v>
      </c>
      <c r="H16" s="123">
        <f>('Цены на металл '!$X17*7.85*'Цены на металл '!$G$3/1000)*'Цены на металл '!$G$4*1.25</f>
        <v>49.965249999999997</v>
      </c>
      <c r="I16" s="124">
        <f>('Цены на металл '!$X17*7.85*'Цены на металл '!$J$3/1000)*('Цены на металл '!$J$4*1.3)+('Цены на металл '!P$5*'Цены на металл '!$X17*7.85*'Цены на металл '!$J$3/1000)</f>
        <v>46.534800000000004</v>
      </c>
      <c r="J16" s="125">
        <f>('Цены на металл '!$X17*7.85*'Цены на металл '!$P$3/1000)*'Цены на металл '!$P$4*1.8</f>
        <v>271.29599999999999</v>
      </c>
    </row>
    <row r="17" spans="1:10">
      <c r="A17" s="7" t="s">
        <v>61</v>
      </c>
      <c r="B17" s="123">
        <f>('Цены на металл '!$X18*7.85*'Цены на металл '!$G$3/1000)*'Цены на металл '!$G$4*1.25</f>
        <v>37.473937499999998</v>
      </c>
      <c r="C17" s="124">
        <f>('Цены на металл '!$X18*7.85*'Цены на металл '!$J$3/1000)*('Цены на металл '!$J$4*1.3)+('Цены на металл '!J$5*'Цены на металл '!$X18*7.85*'Цены на металл '!$J$3/1000)</f>
        <v>57.0381</v>
      </c>
      <c r="D17" s="125">
        <f>('Цены на металл '!$X18*7.85*'Цены на металл '!$P$3/1000)*'Цены на металл '!$P$4*1.8</f>
        <v>203.47199999999998</v>
      </c>
      <c r="E17" s="123">
        <f>('Цены на металл '!$X18*7.85*'Цены на металл '!$G$3/1000)*'Цены на металл '!$G$4*1.25</f>
        <v>37.473937499999998</v>
      </c>
      <c r="F17" s="124">
        <f>('Цены на металл '!$X18*7.85*'Цены на металл '!$J$3/1000)*('Цены на металл '!$J$4*1.3)+('Цены на металл '!M$5*'Цены на металл '!$X18*7.85*'Цены на металл '!$J$3/1000)</f>
        <v>34.9011</v>
      </c>
      <c r="G17" s="125">
        <f>('Цены на металл '!$X18*7.85*'Цены на металл '!$P$3/1000)*'Цены на металл '!$P$4*1.8</f>
        <v>203.47199999999998</v>
      </c>
      <c r="H17" s="123">
        <f>('Цены на металл '!$X18*7.85*'Цены на металл '!$G$3/1000)*'Цены на металл '!$G$4*1.25</f>
        <v>37.473937499999998</v>
      </c>
      <c r="I17" s="124">
        <f>('Цены на металл '!$X18*7.85*'Цены на металл '!$J$3/1000)*('Цены на металл '!$J$4*1.3)+('Цены на металл '!P$5*'Цены на металл '!$X18*7.85*'Цены на металл '!$J$3/1000)</f>
        <v>34.9011</v>
      </c>
      <c r="J17" s="125">
        <f>('Цены на металл '!$X18*7.85*'Цены на металл '!$P$3/1000)*'Цены на металл '!$P$4*1.8</f>
        <v>203.47199999999998</v>
      </c>
    </row>
    <row r="18" spans="1:10">
      <c r="A18" s="9" t="s">
        <v>18</v>
      </c>
      <c r="B18" s="126"/>
      <c r="C18" s="126"/>
      <c r="D18" s="126"/>
      <c r="E18" s="126"/>
      <c r="F18" s="126"/>
      <c r="G18" s="126"/>
      <c r="H18" s="126"/>
      <c r="I18" s="126"/>
      <c r="J18" s="126"/>
    </row>
    <row r="19" spans="1:10">
      <c r="A19" s="10" t="s">
        <v>984</v>
      </c>
      <c r="B19" s="93">
        <v>38</v>
      </c>
      <c r="C19" s="93" t="s">
        <v>770</v>
      </c>
      <c r="D19" s="93" t="s">
        <v>770</v>
      </c>
      <c r="E19" s="93">
        <v>38</v>
      </c>
      <c r="F19" s="93" t="s">
        <v>770</v>
      </c>
      <c r="G19" s="93" t="s">
        <v>770</v>
      </c>
      <c r="H19" s="93">
        <v>38</v>
      </c>
      <c r="I19" s="93" t="s">
        <v>770</v>
      </c>
      <c r="J19" s="93" t="s">
        <v>770</v>
      </c>
    </row>
    <row r="20" spans="1:10">
      <c r="A20" s="10" t="s">
        <v>985</v>
      </c>
      <c r="B20" s="93">
        <v>85</v>
      </c>
      <c r="C20" s="93" t="s">
        <v>770</v>
      </c>
      <c r="D20" s="93" t="s">
        <v>770</v>
      </c>
      <c r="E20" s="93">
        <v>85</v>
      </c>
      <c r="F20" s="93" t="s">
        <v>770</v>
      </c>
      <c r="G20" s="93" t="s">
        <v>770</v>
      </c>
      <c r="H20" s="93">
        <v>85</v>
      </c>
      <c r="I20" s="93" t="s">
        <v>770</v>
      </c>
      <c r="J20" s="93" t="s">
        <v>770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3"/>
  <dimension ref="A1:Q1288"/>
  <sheetViews>
    <sheetView zoomScaleNormal="10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N22" sqref="N22"/>
    </sheetView>
  </sheetViews>
  <sheetFormatPr defaultRowHeight="14.3"/>
  <cols>
    <col min="1" max="1" width="48.125" customWidth="1"/>
    <col min="2" max="2" width="5" style="13" bestFit="1" customWidth="1"/>
    <col min="3" max="7" width="4" style="13" bestFit="1" customWidth="1"/>
    <col min="8" max="10" width="12.625" bestFit="1" customWidth="1"/>
  </cols>
  <sheetData>
    <row r="1" spans="1:17" ht="38.049999999999997">
      <c r="A1" s="117" t="s">
        <v>2</v>
      </c>
      <c r="B1" s="912" t="s">
        <v>1184</v>
      </c>
      <c r="C1" s="913"/>
      <c r="D1" s="913"/>
      <c r="E1" s="913"/>
      <c r="F1"/>
      <c r="G1"/>
      <c r="H1" s="186" t="s">
        <v>1192</v>
      </c>
      <c r="I1" s="248" t="s">
        <v>1192</v>
      </c>
      <c r="J1" s="150" t="s">
        <v>1193</v>
      </c>
    </row>
    <row r="2" spans="1:17" ht="19.05">
      <c r="A2" s="117"/>
      <c r="B2" s="31">
        <v>0.55000000000000004</v>
      </c>
      <c r="C2" s="29">
        <v>0.7</v>
      </c>
      <c r="D2" s="29">
        <v>0.8</v>
      </c>
      <c r="E2" s="29">
        <v>1</v>
      </c>
      <c r="F2" s="29">
        <v>1</v>
      </c>
      <c r="G2" s="29">
        <v>1</v>
      </c>
      <c r="H2" s="88">
        <v>1.2</v>
      </c>
      <c r="I2" s="88">
        <v>1.2</v>
      </c>
      <c r="J2" s="177">
        <v>0.8</v>
      </c>
    </row>
    <row r="3" spans="1:17" ht="14.95" customHeight="1">
      <c r="A3" s="28" t="s">
        <v>1309</v>
      </c>
      <c r="B3" s="14"/>
      <c r="C3" s="14"/>
      <c r="D3" s="14"/>
      <c r="E3" s="14"/>
      <c r="F3" s="14"/>
      <c r="G3" s="14"/>
      <c r="H3" s="48"/>
      <c r="I3" s="48"/>
      <c r="J3" s="120"/>
    </row>
    <row r="4" spans="1:17" ht="14.95" customHeight="1">
      <c r="A4" s="7" t="s">
        <v>1199</v>
      </c>
      <c r="B4" s="92">
        <f>C4*0.9</f>
        <v>121.26779999999999</v>
      </c>
      <c r="C4" s="92">
        <f>('Цены на металл '!AA2*'Цены на металл '!$B$4*1.4)+'Цены на металл '!AB2</f>
        <v>134.74199999999999</v>
      </c>
      <c r="D4" s="92">
        <f>C4*1.1</f>
        <v>148.21620000000001</v>
      </c>
      <c r="E4" s="92">
        <f>C4*1.2</f>
        <v>161.69039999999998</v>
      </c>
      <c r="F4" s="92">
        <f>D4*1.2</f>
        <v>177.85944000000001</v>
      </c>
      <c r="G4" s="92">
        <f>E4*1.2</f>
        <v>194.02847999999997</v>
      </c>
      <c r="H4" s="124">
        <f>'Цены на металл '!AA2*('Цены на металл '!$H$4+'Цены на металл '!$H$5)*5+'Цены на металл '!AB2</f>
        <v>202.62</v>
      </c>
      <c r="I4" s="124">
        <f>'Цены на металл '!AB2*('Цены на металл '!$H$4+'Цены на металл '!$H$5)*5+'Цены на металл '!AC2</f>
        <v>61200</v>
      </c>
      <c r="J4" s="125">
        <f t="shared" ref="J4:J49" si="0">C4*3</f>
        <v>404.226</v>
      </c>
      <c r="K4" s="131"/>
      <c r="L4" s="131"/>
      <c r="M4" s="131"/>
      <c r="N4" s="131"/>
      <c r="O4" s="131"/>
      <c r="P4" s="131"/>
      <c r="Q4" s="131"/>
    </row>
    <row r="5" spans="1:17" ht="14.95" customHeight="1">
      <c r="A5" s="10" t="s">
        <v>1200</v>
      </c>
      <c r="B5" s="92">
        <f t="shared" ref="B5:B68" si="1">C5*0.9</f>
        <v>124.5438</v>
      </c>
      <c r="C5" s="92">
        <f>('Цены на металл '!AA3*'Цены на металл '!$B$4*1.4)+'Цены на металл '!AB3</f>
        <v>138.38200000000001</v>
      </c>
      <c r="D5" s="92">
        <f t="shared" ref="D5:D68" si="2">C5*1.1</f>
        <v>152.22020000000001</v>
      </c>
      <c r="E5" s="92">
        <f t="shared" ref="E5:G68" si="3">C5*1.2</f>
        <v>166.05840000000001</v>
      </c>
      <c r="F5" s="92">
        <f t="shared" si="3"/>
        <v>182.66424000000001</v>
      </c>
      <c r="G5" s="92">
        <f t="shared" si="3"/>
        <v>199.27008000000001</v>
      </c>
      <c r="H5" s="124">
        <f t="shared" ref="H5:H49" si="4">C5*2</f>
        <v>276.76400000000001</v>
      </c>
      <c r="I5" s="124">
        <f t="shared" ref="I5:I49" si="5">D5*2</f>
        <v>304.44040000000001</v>
      </c>
      <c r="J5" s="151">
        <f t="shared" si="0"/>
        <v>415.14600000000002</v>
      </c>
      <c r="K5" s="131"/>
      <c r="L5" s="131"/>
      <c r="M5" s="131"/>
      <c r="N5" s="131"/>
      <c r="O5" s="131"/>
      <c r="P5" s="131"/>
      <c r="Q5" s="131"/>
    </row>
    <row r="6" spans="1:17" ht="14.95" customHeight="1">
      <c r="A6" s="10" t="s">
        <v>1201</v>
      </c>
      <c r="B6" s="92">
        <f t="shared" si="1"/>
        <v>126.67319999999999</v>
      </c>
      <c r="C6" s="92">
        <f>('Цены на металл '!AA4*'Цены на металл '!$B$4*1.4)+'Цены на металл '!AB4</f>
        <v>140.74799999999999</v>
      </c>
      <c r="D6" s="92">
        <f t="shared" si="2"/>
        <v>154.8228</v>
      </c>
      <c r="E6" s="92">
        <f t="shared" si="3"/>
        <v>168.89759999999998</v>
      </c>
      <c r="F6" s="92">
        <f t="shared" si="3"/>
        <v>185.78736000000001</v>
      </c>
      <c r="G6" s="92">
        <f t="shared" si="3"/>
        <v>202.67711999999997</v>
      </c>
      <c r="H6" s="124">
        <f t="shared" si="4"/>
        <v>281.49599999999998</v>
      </c>
      <c r="I6" s="124">
        <f t="shared" si="5"/>
        <v>309.6456</v>
      </c>
      <c r="J6" s="151">
        <f t="shared" si="0"/>
        <v>422.24399999999997</v>
      </c>
      <c r="K6" s="131"/>
      <c r="L6" s="131"/>
      <c r="M6" s="131"/>
      <c r="N6" s="131"/>
      <c r="O6" s="131"/>
      <c r="P6" s="131"/>
      <c r="Q6" s="131"/>
    </row>
    <row r="7" spans="1:17" ht="14.95" customHeight="1">
      <c r="A7" s="10" t="s">
        <v>1202</v>
      </c>
      <c r="B7" s="92">
        <f t="shared" si="1"/>
        <v>123.47910000000002</v>
      </c>
      <c r="C7" s="92">
        <f>('Цены на металл '!AA5*'Цены на металл '!$B$4*1.4)+'Цены на металл '!AB5</f>
        <v>137.19900000000001</v>
      </c>
      <c r="D7" s="92">
        <f t="shared" si="2"/>
        <v>150.91890000000004</v>
      </c>
      <c r="E7" s="92">
        <f t="shared" si="3"/>
        <v>164.6388</v>
      </c>
      <c r="F7" s="92">
        <f t="shared" si="3"/>
        <v>181.10268000000005</v>
      </c>
      <c r="G7" s="92">
        <f t="shared" si="3"/>
        <v>197.56656000000001</v>
      </c>
      <c r="H7" s="124">
        <f t="shared" si="4"/>
        <v>274.39800000000002</v>
      </c>
      <c r="I7" s="124">
        <f t="shared" si="5"/>
        <v>301.83780000000007</v>
      </c>
      <c r="J7" s="125">
        <f t="shared" si="0"/>
        <v>411.59700000000004</v>
      </c>
    </row>
    <row r="8" spans="1:17" ht="14.95" customHeight="1">
      <c r="A8" s="10" t="s">
        <v>1203</v>
      </c>
      <c r="B8" s="92">
        <f t="shared" si="1"/>
        <v>136.99260000000001</v>
      </c>
      <c r="C8" s="92">
        <f>('Цены на металл '!AA6*'Цены на металл '!$B$4*1.4)+'Цены на металл '!AB6</f>
        <v>152.214</v>
      </c>
      <c r="D8" s="92">
        <f t="shared" si="2"/>
        <v>167.43540000000002</v>
      </c>
      <c r="E8" s="92">
        <f t="shared" si="3"/>
        <v>182.6568</v>
      </c>
      <c r="F8" s="92">
        <f t="shared" si="3"/>
        <v>200.92248000000001</v>
      </c>
      <c r="G8" s="92">
        <f t="shared" si="3"/>
        <v>219.18816000000001</v>
      </c>
      <c r="H8" s="124">
        <f t="shared" si="4"/>
        <v>304.428</v>
      </c>
      <c r="I8" s="124">
        <f t="shared" si="5"/>
        <v>334.87080000000003</v>
      </c>
      <c r="J8" s="125">
        <f t="shared" si="0"/>
        <v>456.642</v>
      </c>
    </row>
    <row r="9" spans="1:17" ht="14.95" customHeight="1">
      <c r="A9" s="10" t="s">
        <v>1204</v>
      </c>
      <c r="B9" s="92">
        <f t="shared" si="1"/>
        <v>140.59619999999998</v>
      </c>
      <c r="C9" s="92">
        <f>('Цены на металл '!AA7*'Цены на металл '!$B$4*1.4)+'Цены на металл '!AB7</f>
        <v>156.21799999999999</v>
      </c>
      <c r="D9" s="92">
        <f t="shared" si="2"/>
        <v>171.8398</v>
      </c>
      <c r="E9" s="92">
        <f t="shared" si="3"/>
        <v>187.46159999999998</v>
      </c>
      <c r="F9" s="92">
        <f t="shared" si="3"/>
        <v>206.20775999999998</v>
      </c>
      <c r="G9" s="92">
        <f t="shared" si="3"/>
        <v>224.95391999999995</v>
      </c>
      <c r="H9" s="124">
        <f t="shared" si="4"/>
        <v>312.43599999999998</v>
      </c>
      <c r="I9" s="124">
        <f t="shared" si="5"/>
        <v>343.67959999999999</v>
      </c>
      <c r="J9" s="125">
        <f t="shared" si="0"/>
        <v>468.654</v>
      </c>
    </row>
    <row r="10" spans="1:17" ht="14.95" customHeight="1">
      <c r="A10" s="10" t="s">
        <v>1205</v>
      </c>
      <c r="B10" s="92">
        <f t="shared" si="1"/>
        <v>141.33329999999998</v>
      </c>
      <c r="C10" s="92">
        <f>('Цены на металл '!AA8*'Цены на металл '!$B$4*1.4)+'Цены на металл '!AB8</f>
        <v>157.03699999999998</v>
      </c>
      <c r="D10" s="92">
        <f t="shared" si="2"/>
        <v>172.74069999999998</v>
      </c>
      <c r="E10" s="92">
        <f t="shared" si="3"/>
        <v>188.44439999999997</v>
      </c>
      <c r="F10" s="92">
        <f t="shared" si="3"/>
        <v>207.28883999999996</v>
      </c>
      <c r="G10" s="92">
        <f t="shared" si="3"/>
        <v>226.13327999999996</v>
      </c>
      <c r="H10" s="124">
        <f t="shared" si="4"/>
        <v>314.07399999999996</v>
      </c>
      <c r="I10" s="124">
        <f t="shared" si="5"/>
        <v>345.48139999999995</v>
      </c>
      <c r="J10" s="125">
        <f t="shared" si="0"/>
        <v>471.11099999999993</v>
      </c>
    </row>
    <row r="11" spans="1:17" ht="14.95" customHeight="1">
      <c r="A11" s="10" t="s">
        <v>1206</v>
      </c>
      <c r="B11" s="92">
        <f t="shared" si="1"/>
        <v>145.2645</v>
      </c>
      <c r="C11" s="92">
        <f>('Цены на металл '!AA9*'Цены на металл '!$B$4*1.4)+'Цены на металл '!AB9</f>
        <v>161.405</v>
      </c>
      <c r="D11" s="92">
        <f t="shared" si="2"/>
        <v>177.5455</v>
      </c>
      <c r="E11" s="92">
        <f t="shared" si="3"/>
        <v>193.68600000000001</v>
      </c>
      <c r="F11" s="92">
        <f t="shared" si="3"/>
        <v>213.05459999999999</v>
      </c>
      <c r="G11" s="92">
        <f t="shared" si="3"/>
        <v>232.42320000000001</v>
      </c>
      <c r="H11" s="124">
        <f t="shared" si="4"/>
        <v>322.81</v>
      </c>
      <c r="I11" s="124">
        <f t="shared" si="5"/>
        <v>355.09100000000001</v>
      </c>
      <c r="J11" s="125">
        <f t="shared" si="0"/>
        <v>484.21500000000003</v>
      </c>
    </row>
    <row r="12" spans="1:17" ht="14.95" customHeight="1">
      <c r="A12" s="10" t="s">
        <v>1207</v>
      </c>
      <c r="B12" s="92">
        <f t="shared" si="1"/>
        <v>151.32510000000002</v>
      </c>
      <c r="C12" s="92">
        <f>('Цены на металл '!AA10*'Цены на металл '!$B$4*1.4)+'Цены на металл '!AB10</f>
        <v>168.13900000000001</v>
      </c>
      <c r="D12" s="92">
        <f t="shared" si="2"/>
        <v>184.95290000000003</v>
      </c>
      <c r="E12" s="92">
        <f t="shared" si="3"/>
        <v>201.76680000000002</v>
      </c>
      <c r="F12" s="92">
        <f t="shared" si="3"/>
        <v>221.94348000000002</v>
      </c>
      <c r="G12" s="92">
        <f t="shared" si="3"/>
        <v>242.12016</v>
      </c>
      <c r="H12" s="124">
        <f t="shared" si="4"/>
        <v>336.27800000000002</v>
      </c>
      <c r="I12" s="124">
        <f t="shared" si="5"/>
        <v>369.90580000000006</v>
      </c>
      <c r="J12" s="125">
        <f t="shared" si="0"/>
        <v>504.41700000000003</v>
      </c>
    </row>
    <row r="13" spans="1:17" ht="14.95" customHeight="1">
      <c r="A13" s="10" t="s">
        <v>1208</v>
      </c>
      <c r="B13" s="92">
        <f t="shared" si="1"/>
        <v>152.79929999999999</v>
      </c>
      <c r="C13" s="92">
        <f>('Цены на металл '!AA11*'Цены на металл '!$B$4*1.4)+'Цены на металл '!AB11</f>
        <v>169.77699999999999</v>
      </c>
      <c r="D13" s="92">
        <f t="shared" si="2"/>
        <v>186.75470000000001</v>
      </c>
      <c r="E13" s="92">
        <f t="shared" si="3"/>
        <v>203.73239999999998</v>
      </c>
      <c r="F13" s="92">
        <f t="shared" si="3"/>
        <v>224.10564000000002</v>
      </c>
      <c r="G13" s="92">
        <f t="shared" si="3"/>
        <v>244.47887999999998</v>
      </c>
      <c r="H13" s="124">
        <f t="shared" si="4"/>
        <v>339.55399999999997</v>
      </c>
      <c r="I13" s="124">
        <f t="shared" si="5"/>
        <v>373.50940000000003</v>
      </c>
      <c r="J13" s="125">
        <f t="shared" si="0"/>
        <v>509.33099999999996</v>
      </c>
    </row>
    <row r="14" spans="1:17" ht="14.95" customHeight="1">
      <c r="A14" s="10" t="s">
        <v>1209</v>
      </c>
      <c r="B14" s="92">
        <f t="shared" si="1"/>
        <v>158.77799999999999</v>
      </c>
      <c r="C14" s="92">
        <f>('Цены на металл '!AA12*'Цены на металл '!$B$4*1.4)+'Цены на металл '!AB12</f>
        <v>176.42</v>
      </c>
      <c r="D14" s="92">
        <f t="shared" si="2"/>
        <v>194.06200000000001</v>
      </c>
      <c r="E14" s="92">
        <f t="shared" si="3"/>
        <v>211.70399999999998</v>
      </c>
      <c r="F14" s="92">
        <f t="shared" si="3"/>
        <v>232.87440000000001</v>
      </c>
      <c r="G14" s="92">
        <f t="shared" si="3"/>
        <v>254.04479999999995</v>
      </c>
      <c r="H14" s="124">
        <f t="shared" si="4"/>
        <v>352.84</v>
      </c>
      <c r="I14" s="124">
        <f t="shared" si="5"/>
        <v>388.12400000000002</v>
      </c>
      <c r="J14" s="125">
        <f t="shared" si="0"/>
        <v>529.26</v>
      </c>
    </row>
    <row r="15" spans="1:17" ht="14.95" customHeight="1">
      <c r="A15" s="10" t="s">
        <v>1210</v>
      </c>
      <c r="B15" s="92">
        <f t="shared" si="1"/>
        <v>170.244</v>
      </c>
      <c r="C15" s="92">
        <f>('Цены на металл '!AA13*'Цены на металл '!$B$4*1.4)+'Цены на металл '!AB13</f>
        <v>189.16</v>
      </c>
      <c r="D15" s="92">
        <f t="shared" si="2"/>
        <v>208.07600000000002</v>
      </c>
      <c r="E15" s="92">
        <f t="shared" si="3"/>
        <v>226.99199999999999</v>
      </c>
      <c r="F15" s="92">
        <f t="shared" si="3"/>
        <v>249.69120000000001</v>
      </c>
      <c r="G15" s="92">
        <f t="shared" si="3"/>
        <v>272.3904</v>
      </c>
      <c r="H15" s="124">
        <f t="shared" si="4"/>
        <v>378.32</v>
      </c>
      <c r="I15" s="124">
        <f t="shared" si="5"/>
        <v>416.15200000000004</v>
      </c>
      <c r="J15" s="125">
        <f t="shared" si="0"/>
        <v>567.48</v>
      </c>
    </row>
    <row r="16" spans="1:17" ht="14.95" customHeight="1">
      <c r="A16" s="10" t="s">
        <v>1211</v>
      </c>
      <c r="B16" s="92">
        <f t="shared" si="1"/>
        <v>188.91719999999998</v>
      </c>
      <c r="C16" s="92">
        <f>('Цены на металл '!AA14*'Цены на металл '!$B$4*1.4)+'Цены на металл '!AB14</f>
        <v>209.90799999999999</v>
      </c>
      <c r="D16" s="92">
        <f t="shared" si="2"/>
        <v>230.89879999999999</v>
      </c>
      <c r="E16" s="92">
        <f t="shared" si="3"/>
        <v>251.88959999999997</v>
      </c>
      <c r="F16" s="92">
        <f t="shared" si="3"/>
        <v>277.07855999999998</v>
      </c>
      <c r="G16" s="92">
        <f t="shared" si="3"/>
        <v>302.26751999999993</v>
      </c>
      <c r="H16" s="124">
        <f t="shared" si="4"/>
        <v>419.81599999999997</v>
      </c>
      <c r="I16" s="124">
        <f t="shared" si="5"/>
        <v>461.79759999999999</v>
      </c>
      <c r="J16" s="125">
        <f t="shared" si="0"/>
        <v>629.72399999999993</v>
      </c>
    </row>
    <row r="17" spans="1:10" ht="14.95" customHeight="1">
      <c r="A17" s="10" t="s">
        <v>1212</v>
      </c>
      <c r="B17" s="92">
        <f t="shared" si="1"/>
        <v>171.88200000000003</v>
      </c>
      <c r="C17" s="92">
        <f>('Цены на металл '!AA15*'Цены на металл '!$B$4*1.4)+'Цены на металл '!AB15</f>
        <v>190.98000000000002</v>
      </c>
      <c r="D17" s="92">
        <f t="shared" si="2"/>
        <v>210.07800000000003</v>
      </c>
      <c r="E17" s="92">
        <f t="shared" si="3"/>
        <v>229.17600000000002</v>
      </c>
      <c r="F17" s="92">
        <f t="shared" si="3"/>
        <v>252.09360000000004</v>
      </c>
      <c r="G17" s="92">
        <f t="shared" si="3"/>
        <v>275.01120000000003</v>
      </c>
      <c r="H17" s="124">
        <f t="shared" si="4"/>
        <v>381.96000000000004</v>
      </c>
      <c r="I17" s="124">
        <f t="shared" si="5"/>
        <v>420.15600000000006</v>
      </c>
      <c r="J17" s="125">
        <f t="shared" si="0"/>
        <v>572.94000000000005</v>
      </c>
    </row>
    <row r="18" spans="1:10" ht="14.95" customHeight="1">
      <c r="A18" s="10" t="s">
        <v>1213</v>
      </c>
      <c r="B18" s="92">
        <f t="shared" si="1"/>
        <v>176.14079999999998</v>
      </c>
      <c r="C18" s="92">
        <f>('Цены на металл '!AA17*'Цены на металл '!$B$4*1.4)+'Цены на металл '!AB17</f>
        <v>195.71199999999999</v>
      </c>
      <c r="D18" s="92">
        <f t="shared" si="2"/>
        <v>215.28319999999999</v>
      </c>
      <c r="E18" s="92">
        <f t="shared" si="3"/>
        <v>234.85439999999997</v>
      </c>
      <c r="F18" s="92">
        <f t="shared" si="3"/>
        <v>258.33983999999998</v>
      </c>
      <c r="G18" s="92">
        <f t="shared" si="3"/>
        <v>281.82527999999996</v>
      </c>
      <c r="H18" s="124">
        <f t="shared" si="4"/>
        <v>391.42399999999998</v>
      </c>
      <c r="I18" s="124">
        <f t="shared" si="5"/>
        <v>430.56639999999999</v>
      </c>
      <c r="J18" s="125">
        <f t="shared" si="0"/>
        <v>587.13599999999997</v>
      </c>
    </row>
    <row r="19" spans="1:10" ht="14.95" customHeight="1">
      <c r="A19" s="10" t="s">
        <v>1214</v>
      </c>
      <c r="B19" s="92">
        <f t="shared" si="1"/>
        <v>178.76159999999999</v>
      </c>
      <c r="C19" s="92">
        <f>('Цены на металл '!AA18*'Цены на металл '!$B$4*1.4)+'Цены на металл '!AB18</f>
        <v>198.624</v>
      </c>
      <c r="D19" s="92">
        <f t="shared" si="2"/>
        <v>218.4864</v>
      </c>
      <c r="E19" s="92">
        <f t="shared" si="3"/>
        <v>238.34879999999998</v>
      </c>
      <c r="F19" s="92">
        <f t="shared" si="3"/>
        <v>262.18367999999998</v>
      </c>
      <c r="G19" s="92">
        <f t="shared" si="3"/>
        <v>286.01855999999998</v>
      </c>
      <c r="H19" s="124">
        <f t="shared" si="4"/>
        <v>397.24799999999999</v>
      </c>
      <c r="I19" s="124">
        <f t="shared" si="5"/>
        <v>436.97280000000001</v>
      </c>
      <c r="J19" s="125">
        <f t="shared" si="0"/>
        <v>595.87199999999996</v>
      </c>
    </row>
    <row r="20" spans="1:10" ht="14.95" customHeight="1">
      <c r="A20" s="10" t="s">
        <v>1215</v>
      </c>
      <c r="B20" s="92">
        <f t="shared" si="1"/>
        <v>184.57650000000001</v>
      </c>
      <c r="C20" s="92">
        <f>('Цены на металл '!AA19*'Цены на металл '!$B$4*1.4)+'Цены на металл '!AB19</f>
        <v>205.08500000000001</v>
      </c>
      <c r="D20" s="92">
        <f t="shared" si="2"/>
        <v>225.59350000000003</v>
      </c>
      <c r="E20" s="92">
        <f t="shared" si="3"/>
        <v>246.102</v>
      </c>
      <c r="F20" s="92">
        <f t="shared" si="3"/>
        <v>270.71220000000005</v>
      </c>
      <c r="G20" s="92">
        <f t="shared" si="3"/>
        <v>295.32240000000002</v>
      </c>
      <c r="H20" s="124">
        <f t="shared" si="4"/>
        <v>410.17</v>
      </c>
      <c r="I20" s="124">
        <f t="shared" si="5"/>
        <v>451.18700000000007</v>
      </c>
      <c r="J20" s="125">
        <f t="shared" si="0"/>
        <v>615.255</v>
      </c>
    </row>
    <row r="21" spans="1:10" ht="14.95" customHeight="1">
      <c r="A21" s="10" t="s">
        <v>1216</v>
      </c>
      <c r="B21" s="92">
        <f t="shared" si="1"/>
        <v>193.3398</v>
      </c>
      <c r="C21" s="92">
        <f>('Цены на металл '!AA20*'Цены на металл '!$B$4*1.4)+'Цены на металл '!AB20</f>
        <v>214.822</v>
      </c>
      <c r="D21" s="92">
        <f t="shared" si="2"/>
        <v>236.30420000000001</v>
      </c>
      <c r="E21" s="92">
        <f t="shared" si="3"/>
        <v>257.78640000000001</v>
      </c>
      <c r="F21" s="92">
        <f t="shared" si="3"/>
        <v>283.56504000000001</v>
      </c>
      <c r="G21" s="92">
        <f t="shared" si="3"/>
        <v>309.34368000000001</v>
      </c>
      <c r="H21" s="124">
        <f t="shared" si="4"/>
        <v>429.64400000000001</v>
      </c>
      <c r="I21" s="124">
        <f t="shared" si="5"/>
        <v>472.60840000000002</v>
      </c>
      <c r="J21" s="125">
        <f t="shared" si="0"/>
        <v>644.46600000000001</v>
      </c>
    </row>
    <row r="22" spans="1:10" ht="14.95" customHeight="1">
      <c r="A22" s="10" t="s">
        <v>1217</v>
      </c>
      <c r="B22" s="92">
        <f t="shared" si="1"/>
        <v>214.47000000000003</v>
      </c>
      <c r="C22" s="92">
        <f>('Цены на металл '!AA21*'Цены на металл '!$B$4*1.4)+'Цены на металл '!AB21</f>
        <v>238.3</v>
      </c>
      <c r="D22" s="92">
        <f t="shared" si="2"/>
        <v>262.13000000000005</v>
      </c>
      <c r="E22" s="92">
        <f t="shared" si="3"/>
        <v>285.95999999999998</v>
      </c>
      <c r="F22" s="92">
        <f t="shared" si="3"/>
        <v>314.55600000000004</v>
      </c>
      <c r="G22" s="92">
        <f t="shared" si="3"/>
        <v>343.15199999999999</v>
      </c>
      <c r="H22" s="124">
        <f t="shared" si="4"/>
        <v>476.6</v>
      </c>
      <c r="I22" s="124">
        <f t="shared" si="5"/>
        <v>524.2600000000001</v>
      </c>
      <c r="J22" s="125">
        <f t="shared" si="0"/>
        <v>714.90000000000009</v>
      </c>
    </row>
    <row r="23" spans="1:10" ht="14.95" customHeight="1">
      <c r="A23" s="10" t="s">
        <v>1218</v>
      </c>
      <c r="B23" s="92">
        <f t="shared" si="1"/>
        <v>235.68209999999999</v>
      </c>
      <c r="C23" s="92">
        <f>('Цены на металл '!AA22*'Цены на металл '!$B$4*1.4)+'Цены на металл '!AB22</f>
        <v>261.86899999999997</v>
      </c>
      <c r="D23" s="92">
        <f t="shared" si="2"/>
        <v>288.05590000000001</v>
      </c>
      <c r="E23" s="92">
        <f t="shared" si="3"/>
        <v>314.24279999999993</v>
      </c>
      <c r="F23" s="92">
        <f t="shared" si="3"/>
        <v>345.66708</v>
      </c>
      <c r="G23" s="92">
        <f t="shared" si="3"/>
        <v>377.0913599999999</v>
      </c>
      <c r="H23" s="124">
        <f t="shared" si="4"/>
        <v>523.73799999999994</v>
      </c>
      <c r="I23" s="124">
        <f t="shared" si="5"/>
        <v>576.11180000000002</v>
      </c>
      <c r="J23" s="125">
        <f t="shared" si="0"/>
        <v>785.60699999999997</v>
      </c>
    </row>
    <row r="24" spans="1:10" ht="14.95" customHeight="1">
      <c r="A24" s="10" t="s">
        <v>1219</v>
      </c>
      <c r="B24" s="92">
        <f t="shared" si="1"/>
        <v>193.66740000000001</v>
      </c>
      <c r="C24" s="92">
        <f>('Цены на металл '!AA23*'Цены на металл '!$B$4*1.4)+'Цены на металл '!AB23</f>
        <v>215.18600000000001</v>
      </c>
      <c r="D24" s="92">
        <f t="shared" si="2"/>
        <v>236.70460000000003</v>
      </c>
      <c r="E24" s="92">
        <f t="shared" si="3"/>
        <v>258.22320000000002</v>
      </c>
      <c r="F24" s="92">
        <f t="shared" si="3"/>
        <v>284.04552000000001</v>
      </c>
      <c r="G24" s="92">
        <f t="shared" si="3"/>
        <v>309.86784</v>
      </c>
      <c r="H24" s="124">
        <f t="shared" si="4"/>
        <v>430.37200000000001</v>
      </c>
      <c r="I24" s="124">
        <f t="shared" si="5"/>
        <v>473.40920000000006</v>
      </c>
      <c r="J24" s="125">
        <f t="shared" si="0"/>
        <v>645.55799999999999</v>
      </c>
    </row>
    <row r="25" spans="1:10" ht="14.95" customHeight="1">
      <c r="A25" s="10" t="s">
        <v>1220</v>
      </c>
      <c r="B25" s="92">
        <f t="shared" si="1"/>
        <v>209.96550000000002</v>
      </c>
      <c r="C25" s="92">
        <f>('Цены на металл '!AA24*'Цены на металл '!$B$4*1.4)+'Цены на металл '!AB24</f>
        <v>233.29500000000002</v>
      </c>
      <c r="D25" s="92">
        <f t="shared" si="2"/>
        <v>256.62450000000001</v>
      </c>
      <c r="E25" s="92">
        <f t="shared" si="3"/>
        <v>279.95400000000001</v>
      </c>
      <c r="F25" s="92">
        <f t="shared" si="3"/>
        <v>307.94940000000003</v>
      </c>
      <c r="G25" s="92">
        <f t="shared" si="3"/>
        <v>335.94479999999999</v>
      </c>
      <c r="H25" s="124">
        <f t="shared" si="4"/>
        <v>466.59000000000003</v>
      </c>
      <c r="I25" s="124">
        <f t="shared" si="5"/>
        <v>513.24900000000002</v>
      </c>
      <c r="J25" s="125">
        <f t="shared" si="0"/>
        <v>699.88499999999999</v>
      </c>
    </row>
    <row r="26" spans="1:10" ht="14.95" customHeight="1">
      <c r="A26" s="10" t="s">
        <v>1221</v>
      </c>
      <c r="B26" s="92">
        <f t="shared" si="1"/>
        <v>217.90980000000002</v>
      </c>
      <c r="C26" s="92">
        <f>('Цены на металл '!AA25*'Цены на металл '!$B$4*1.4)+'Цены на металл '!AB25</f>
        <v>242.12200000000001</v>
      </c>
      <c r="D26" s="92">
        <f t="shared" si="2"/>
        <v>266.33420000000001</v>
      </c>
      <c r="E26" s="92">
        <f t="shared" si="3"/>
        <v>290.54640000000001</v>
      </c>
      <c r="F26" s="92">
        <f t="shared" si="3"/>
        <v>319.60104000000001</v>
      </c>
      <c r="G26" s="92">
        <f t="shared" si="3"/>
        <v>348.65568000000002</v>
      </c>
      <c r="H26" s="124">
        <f t="shared" si="4"/>
        <v>484.24400000000003</v>
      </c>
      <c r="I26" s="124">
        <f t="shared" si="5"/>
        <v>532.66840000000002</v>
      </c>
      <c r="J26" s="125">
        <f t="shared" si="0"/>
        <v>726.36599999999999</v>
      </c>
    </row>
    <row r="27" spans="1:10" ht="14.95" customHeight="1">
      <c r="A27" s="10" t="s">
        <v>1222</v>
      </c>
      <c r="B27" s="92">
        <f t="shared" si="1"/>
        <v>227.24639999999999</v>
      </c>
      <c r="C27" s="92">
        <f>('Цены на металл '!AA26*'Цены на металл '!$B$4*1.4)+'Цены на металл '!AB26</f>
        <v>252.49599999999998</v>
      </c>
      <c r="D27" s="92">
        <f t="shared" si="2"/>
        <v>277.74560000000002</v>
      </c>
      <c r="E27" s="92">
        <f t="shared" si="3"/>
        <v>302.99519999999995</v>
      </c>
      <c r="F27" s="92">
        <f t="shared" si="3"/>
        <v>333.29472000000004</v>
      </c>
      <c r="G27" s="92">
        <f t="shared" si="3"/>
        <v>363.59423999999996</v>
      </c>
      <c r="H27" s="124">
        <f t="shared" si="4"/>
        <v>504.99199999999996</v>
      </c>
      <c r="I27" s="124">
        <f t="shared" si="5"/>
        <v>555.49120000000005</v>
      </c>
      <c r="J27" s="125">
        <f t="shared" si="0"/>
        <v>757.48799999999994</v>
      </c>
    </row>
    <row r="28" spans="1:10" ht="14.95" customHeight="1">
      <c r="A28" s="10" t="s">
        <v>1223</v>
      </c>
      <c r="B28" s="92">
        <f t="shared" si="1"/>
        <v>237.81150000000002</v>
      </c>
      <c r="C28" s="92">
        <f>('Цены на металл '!AA27*'Цены на металл '!$B$4*1.4)+'Цены на металл '!AB27</f>
        <v>264.23500000000001</v>
      </c>
      <c r="D28" s="92">
        <f t="shared" si="2"/>
        <v>290.65850000000006</v>
      </c>
      <c r="E28" s="92">
        <f t="shared" si="3"/>
        <v>317.08199999999999</v>
      </c>
      <c r="F28" s="92">
        <f t="shared" si="3"/>
        <v>348.79020000000008</v>
      </c>
      <c r="G28" s="92">
        <f t="shared" si="3"/>
        <v>380.4984</v>
      </c>
      <c r="H28" s="124">
        <f t="shared" si="4"/>
        <v>528.47</v>
      </c>
      <c r="I28" s="124">
        <f t="shared" si="5"/>
        <v>581.31700000000012</v>
      </c>
      <c r="J28" s="125">
        <f t="shared" si="0"/>
        <v>792.70500000000004</v>
      </c>
    </row>
    <row r="29" spans="1:10" ht="14.95" customHeight="1">
      <c r="A29" s="10" t="s">
        <v>1224</v>
      </c>
      <c r="B29" s="92">
        <f t="shared" si="1"/>
        <v>220.9401</v>
      </c>
      <c r="C29" s="92">
        <f>('Цены на металл '!AA28*'Цены на металл '!$B$4*1.4)+'Цены на металл '!AB28</f>
        <v>245.489</v>
      </c>
      <c r="D29" s="92">
        <f t="shared" si="2"/>
        <v>270.03790000000004</v>
      </c>
      <c r="E29" s="92">
        <f t="shared" si="3"/>
        <v>294.58679999999998</v>
      </c>
      <c r="F29" s="92">
        <f t="shared" si="3"/>
        <v>324.04548000000005</v>
      </c>
      <c r="G29" s="92">
        <f t="shared" si="3"/>
        <v>353.50415999999996</v>
      </c>
      <c r="H29" s="124">
        <f t="shared" si="4"/>
        <v>490.97800000000001</v>
      </c>
      <c r="I29" s="124">
        <f t="shared" si="5"/>
        <v>540.07580000000007</v>
      </c>
      <c r="J29" s="125">
        <f t="shared" si="0"/>
        <v>736.46699999999998</v>
      </c>
    </row>
    <row r="30" spans="1:10" ht="14.95" customHeight="1">
      <c r="A30" s="10" t="s">
        <v>1225</v>
      </c>
      <c r="B30" s="92">
        <f t="shared" si="1"/>
        <v>226.5093</v>
      </c>
      <c r="C30" s="92">
        <f>('Цены на металл '!AA29*'Цены на металл '!$B$4*1.4)+'Цены на металл '!AB29</f>
        <v>251.67699999999999</v>
      </c>
      <c r="D30" s="92">
        <f t="shared" si="2"/>
        <v>276.84469999999999</v>
      </c>
      <c r="E30" s="92">
        <f t="shared" si="3"/>
        <v>302.01239999999996</v>
      </c>
      <c r="F30" s="92">
        <f t="shared" si="3"/>
        <v>332.21364</v>
      </c>
      <c r="G30" s="92">
        <f t="shared" si="3"/>
        <v>362.41487999999993</v>
      </c>
      <c r="H30" s="124">
        <f t="shared" si="4"/>
        <v>503.35399999999998</v>
      </c>
      <c r="I30" s="124">
        <f t="shared" si="5"/>
        <v>553.68939999999998</v>
      </c>
      <c r="J30" s="125">
        <f t="shared" si="0"/>
        <v>755.03099999999995</v>
      </c>
    </row>
    <row r="31" spans="1:10" ht="14.95" customHeight="1">
      <c r="A31" s="10" t="s">
        <v>1226</v>
      </c>
      <c r="B31" s="92">
        <f t="shared" si="1"/>
        <v>228.88439999999997</v>
      </c>
      <c r="C31" s="92">
        <f>('Цены на металл '!AA30*'Цены на металл '!$B$4*1.4)+'Цены на металл '!AB30</f>
        <v>254.31599999999997</v>
      </c>
      <c r="D31" s="92">
        <f t="shared" si="2"/>
        <v>279.74759999999998</v>
      </c>
      <c r="E31" s="92">
        <f t="shared" si="3"/>
        <v>305.17919999999998</v>
      </c>
      <c r="F31" s="92">
        <f t="shared" si="3"/>
        <v>335.69711999999998</v>
      </c>
      <c r="G31" s="92">
        <f t="shared" si="3"/>
        <v>366.21503999999999</v>
      </c>
      <c r="H31" s="124">
        <f t="shared" si="4"/>
        <v>508.63199999999995</v>
      </c>
      <c r="I31" s="124">
        <f t="shared" si="5"/>
        <v>559.49519999999995</v>
      </c>
      <c r="J31" s="125">
        <f t="shared" si="0"/>
        <v>762.94799999999987</v>
      </c>
    </row>
    <row r="32" spans="1:10" ht="14.95" customHeight="1">
      <c r="A32" s="10" t="s">
        <v>1227</v>
      </c>
      <c r="B32" s="92">
        <f t="shared" si="1"/>
        <v>237.7296</v>
      </c>
      <c r="C32" s="92">
        <f>('Цены на металл '!AA31*'Цены на металл '!$B$4*1.4)+'Цены на металл '!AB31</f>
        <v>264.14400000000001</v>
      </c>
      <c r="D32" s="92">
        <f t="shared" si="2"/>
        <v>290.55840000000001</v>
      </c>
      <c r="E32" s="92">
        <f t="shared" si="3"/>
        <v>316.97280000000001</v>
      </c>
      <c r="F32" s="92">
        <f t="shared" si="3"/>
        <v>348.67007999999998</v>
      </c>
      <c r="G32" s="92">
        <f t="shared" si="3"/>
        <v>380.36736000000002</v>
      </c>
      <c r="H32" s="124">
        <f t="shared" si="4"/>
        <v>528.28800000000001</v>
      </c>
      <c r="I32" s="124">
        <f t="shared" si="5"/>
        <v>581.11680000000001</v>
      </c>
      <c r="J32" s="125">
        <f t="shared" si="0"/>
        <v>792.43200000000002</v>
      </c>
    </row>
    <row r="33" spans="1:10" ht="15.8" customHeight="1">
      <c r="A33" s="10" t="s">
        <v>1228</v>
      </c>
      <c r="B33" s="92">
        <f t="shared" si="1"/>
        <v>248.94989999999999</v>
      </c>
      <c r="C33" s="92">
        <f>('Цены на металл '!AA32*'Цены на металл '!$B$4*1.4)+'Цены на металл '!AB32</f>
        <v>276.61099999999999</v>
      </c>
      <c r="D33" s="92">
        <f t="shared" si="2"/>
        <v>304.27210000000002</v>
      </c>
      <c r="E33" s="92">
        <f t="shared" si="3"/>
        <v>331.9332</v>
      </c>
      <c r="F33" s="92">
        <f t="shared" si="3"/>
        <v>365.12652000000003</v>
      </c>
      <c r="G33" s="92">
        <f t="shared" si="3"/>
        <v>398.31984</v>
      </c>
      <c r="H33" s="124">
        <f t="shared" si="4"/>
        <v>553.22199999999998</v>
      </c>
      <c r="I33" s="124">
        <f t="shared" si="5"/>
        <v>608.54420000000005</v>
      </c>
      <c r="J33" s="125">
        <f t="shared" si="0"/>
        <v>829.83299999999997</v>
      </c>
    </row>
    <row r="34" spans="1:10">
      <c r="A34" s="10" t="s">
        <v>1229</v>
      </c>
      <c r="B34" s="92">
        <f t="shared" si="1"/>
        <v>277.4511</v>
      </c>
      <c r="C34" s="92">
        <f>('Цены на металл '!AA33*'Цены на металл '!$B$4*1.4)+'Цены на металл '!AB33</f>
        <v>308.279</v>
      </c>
      <c r="D34" s="92">
        <f t="shared" si="2"/>
        <v>339.1069</v>
      </c>
      <c r="E34" s="92">
        <f t="shared" si="3"/>
        <v>369.9348</v>
      </c>
      <c r="F34" s="92">
        <f t="shared" si="3"/>
        <v>406.92827999999997</v>
      </c>
      <c r="G34" s="92">
        <f t="shared" si="3"/>
        <v>443.92176000000001</v>
      </c>
      <c r="H34" s="124">
        <f t="shared" si="4"/>
        <v>616.55799999999999</v>
      </c>
      <c r="I34" s="124">
        <f t="shared" si="5"/>
        <v>678.21379999999999</v>
      </c>
      <c r="J34" s="125">
        <f t="shared" si="0"/>
        <v>924.83699999999999</v>
      </c>
    </row>
    <row r="35" spans="1:10">
      <c r="A35" s="10" t="s">
        <v>1230</v>
      </c>
      <c r="B35" s="92">
        <f t="shared" si="1"/>
        <v>288.18</v>
      </c>
      <c r="C35" s="92">
        <f>('Цены на металл '!AA34*'Цены на металл '!$B$4*1.4)+'Цены на металл '!AB34</f>
        <v>320.2</v>
      </c>
      <c r="D35" s="92">
        <f t="shared" si="2"/>
        <v>352.22</v>
      </c>
      <c r="E35" s="92">
        <f t="shared" si="3"/>
        <v>384.23999999999995</v>
      </c>
      <c r="F35" s="92">
        <f t="shared" si="3"/>
        <v>422.66400000000004</v>
      </c>
      <c r="G35" s="92">
        <f t="shared" si="3"/>
        <v>461.08799999999991</v>
      </c>
      <c r="H35" s="124">
        <f t="shared" si="4"/>
        <v>640.4</v>
      </c>
      <c r="I35" s="124">
        <f t="shared" si="5"/>
        <v>704.44</v>
      </c>
      <c r="J35" s="125">
        <f t="shared" si="0"/>
        <v>960.59999999999991</v>
      </c>
    </row>
    <row r="36" spans="1:10">
      <c r="A36" s="10" t="s">
        <v>1231</v>
      </c>
      <c r="B36" s="92">
        <f t="shared" si="1"/>
        <v>284.74019999999996</v>
      </c>
      <c r="C36" s="92">
        <f>('Цены на металл '!AA35*'Цены на металл '!$B$4*1.4)+'Цены на металл '!AB35</f>
        <v>316.37799999999993</v>
      </c>
      <c r="D36" s="92">
        <f t="shared" si="2"/>
        <v>348.01579999999996</v>
      </c>
      <c r="E36" s="92">
        <f t="shared" si="3"/>
        <v>379.65359999999993</v>
      </c>
      <c r="F36" s="92">
        <f t="shared" si="3"/>
        <v>417.61895999999996</v>
      </c>
      <c r="G36" s="92">
        <f t="shared" si="3"/>
        <v>455.58431999999988</v>
      </c>
      <c r="H36" s="124">
        <f t="shared" si="4"/>
        <v>632.75599999999986</v>
      </c>
      <c r="I36" s="124">
        <f t="shared" si="5"/>
        <v>696.03159999999991</v>
      </c>
      <c r="J36" s="125">
        <f t="shared" si="0"/>
        <v>949.13399999999979</v>
      </c>
    </row>
    <row r="37" spans="1:10">
      <c r="A37" s="10" t="s">
        <v>1232</v>
      </c>
      <c r="B37" s="92">
        <f t="shared" si="1"/>
        <v>291.78360000000004</v>
      </c>
      <c r="C37" s="92">
        <f>('Цены на металл '!AA36*'Цены на металл '!$B$4*1.4)+'Цены на металл '!AB36</f>
        <v>324.20400000000001</v>
      </c>
      <c r="D37" s="92">
        <f t="shared" si="2"/>
        <v>356.62440000000004</v>
      </c>
      <c r="E37" s="92">
        <f t="shared" si="3"/>
        <v>389.04480000000001</v>
      </c>
      <c r="F37" s="92">
        <f t="shared" si="3"/>
        <v>427.94928000000004</v>
      </c>
      <c r="G37" s="92">
        <f t="shared" si="3"/>
        <v>466.85375999999997</v>
      </c>
      <c r="H37" s="124">
        <f t="shared" si="4"/>
        <v>648.40800000000002</v>
      </c>
      <c r="I37" s="124">
        <f t="shared" si="5"/>
        <v>713.24880000000007</v>
      </c>
      <c r="J37" s="125">
        <f t="shared" si="0"/>
        <v>972.61200000000008</v>
      </c>
    </row>
    <row r="38" spans="1:10">
      <c r="A38" s="10" t="s">
        <v>1233</v>
      </c>
      <c r="B38" s="92">
        <f t="shared" si="1"/>
        <v>292.76639999999998</v>
      </c>
      <c r="C38" s="92">
        <f>('Цены на металл '!AA37*'Цены на металл '!$B$4*1.4)+'Цены на металл '!AB37</f>
        <v>325.29599999999994</v>
      </c>
      <c r="D38" s="92">
        <f t="shared" si="2"/>
        <v>357.82559999999995</v>
      </c>
      <c r="E38" s="92">
        <f t="shared" si="3"/>
        <v>390.35519999999991</v>
      </c>
      <c r="F38" s="92">
        <f t="shared" si="3"/>
        <v>429.39071999999993</v>
      </c>
      <c r="G38" s="92">
        <f t="shared" si="3"/>
        <v>468.42623999999989</v>
      </c>
      <c r="H38" s="124">
        <f t="shared" si="4"/>
        <v>650.59199999999987</v>
      </c>
      <c r="I38" s="124">
        <f t="shared" si="5"/>
        <v>715.6511999999999</v>
      </c>
      <c r="J38" s="125">
        <f t="shared" si="0"/>
        <v>975.88799999999981</v>
      </c>
    </row>
    <row r="39" spans="1:10">
      <c r="A39" s="10" t="s">
        <v>1234</v>
      </c>
      <c r="B39" s="92">
        <f t="shared" si="1"/>
        <v>305.7885</v>
      </c>
      <c r="C39" s="92">
        <f>('Цены на металл '!AA38*'Цены на металл '!$B$4*1.4)+'Цены на металл '!AB38</f>
        <v>339.76499999999999</v>
      </c>
      <c r="D39" s="92">
        <f t="shared" si="2"/>
        <v>373.74150000000003</v>
      </c>
      <c r="E39" s="92">
        <f t="shared" si="3"/>
        <v>407.71799999999996</v>
      </c>
      <c r="F39" s="92">
        <f t="shared" si="3"/>
        <v>448.4898</v>
      </c>
      <c r="G39" s="92">
        <f t="shared" si="3"/>
        <v>489.26159999999993</v>
      </c>
      <c r="H39" s="124">
        <f t="shared" si="4"/>
        <v>679.53</v>
      </c>
      <c r="I39" s="124">
        <f t="shared" si="5"/>
        <v>747.48300000000006</v>
      </c>
      <c r="J39" s="125">
        <f t="shared" si="0"/>
        <v>1019.295</v>
      </c>
    </row>
    <row r="40" spans="1:10">
      <c r="A40" s="10" t="s">
        <v>1235</v>
      </c>
      <c r="B40" s="92">
        <f t="shared" si="1"/>
        <v>316.68119999999999</v>
      </c>
      <c r="C40" s="92">
        <f>('Цены на металл '!AA39*'Цены на металл '!$B$4*1.4)+'Цены на металл '!AB39</f>
        <v>351.86799999999999</v>
      </c>
      <c r="D40" s="92">
        <f t="shared" si="2"/>
        <v>387.0548</v>
      </c>
      <c r="E40" s="92">
        <f t="shared" si="3"/>
        <v>422.24160000000001</v>
      </c>
      <c r="F40" s="92">
        <f t="shared" si="3"/>
        <v>464.46575999999999</v>
      </c>
      <c r="G40" s="92">
        <f t="shared" si="3"/>
        <v>506.68991999999997</v>
      </c>
      <c r="H40" s="124">
        <f t="shared" si="4"/>
        <v>703.73599999999999</v>
      </c>
      <c r="I40" s="124">
        <f t="shared" si="5"/>
        <v>774.1096</v>
      </c>
      <c r="J40" s="125">
        <f t="shared" si="0"/>
        <v>1055.604</v>
      </c>
    </row>
    <row r="41" spans="1:10">
      <c r="A41" s="10" t="s">
        <v>1236</v>
      </c>
      <c r="B41" s="92">
        <f t="shared" si="1"/>
        <v>355.01039999999995</v>
      </c>
      <c r="C41" s="92">
        <f>('Цены на металл '!AA40*'Цены на металл '!$B$4*1.4)+'Цены на металл '!AB40</f>
        <v>394.45599999999996</v>
      </c>
      <c r="D41" s="92">
        <f t="shared" si="2"/>
        <v>433.90159999999997</v>
      </c>
      <c r="E41" s="92">
        <f t="shared" si="3"/>
        <v>473.34719999999993</v>
      </c>
      <c r="F41" s="92">
        <f t="shared" si="3"/>
        <v>520.68191999999999</v>
      </c>
      <c r="G41" s="92">
        <f t="shared" si="3"/>
        <v>568.01663999999994</v>
      </c>
      <c r="H41" s="124">
        <f t="shared" si="4"/>
        <v>788.91199999999992</v>
      </c>
      <c r="I41" s="124">
        <f t="shared" si="5"/>
        <v>867.80319999999995</v>
      </c>
      <c r="J41" s="125">
        <f t="shared" si="0"/>
        <v>1183.3679999999999</v>
      </c>
    </row>
    <row r="42" spans="1:10">
      <c r="A42" s="10" t="s">
        <v>1237</v>
      </c>
      <c r="B42" s="92">
        <f t="shared" si="1"/>
        <v>370.08</v>
      </c>
      <c r="C42" s="92">
        <f>('Цены на металл '!AA41*'Цены на металл '!$B$4*1.4)+'Цены на металл '!AB41</f>
        <v>411.2</v>
      </c>
      <c r="D42" s="92">
        <f t="shared" si="2"/>
        <v>452.32000000000005</v>
      </c>
      <c r="E42" s="92">
        <f t="shared" si="3"/>
        <v>493.43999999999994</v>
      </c>
      <c r="F42" s="92">
        <f t="shared" si="3"/>
        <v>542.78399999999999</v>
      </c>
      <c r="G42" s="92">
        <f t="shared" si="3"/>
        <v>592.12799999999993</v>
      </c>
      <c r="H42" s="124">
        <f t="shared" si="4"/>
        <v>822.4</v>
      </c>
      <c r="I42" s="124">
        <f t="shared" si="5"/>
        <v>904.6400000000001</v>
      </c>
      <c r="J42" s="125">
        <f t="shared" si="0"/>
        <v>1233.5999999999999</v>
      </c>
    </row>
    <row r="43" spans="1:10">
      <c r="A43" s="10" t="s">
        <v>1238</v>
      </c>
      <c r="B43" s="92">
        <f t="shared" si="1"/>
        <v>358.77780000000001</v>
      </c>
      <c r="C43" s="92">
        <f>('Цены на металл '!AA42*'Цены на металл '!$B$4*1.4)+'Цены на металл '!AB42</f>
        <v>398.642</v>
      </c>
      <c r="D43" s="92">
        <f t="shared" si="2"/>
        <v>438.50620000000004</v>
      </c>
      <c r="E43" s="92">
        <f t="shared" si="3"/>
        <v>478.37039999999996</v>
      </c>
      <c r="F43" s="92">
        <f t="shared" si="3"/>
        <v>526.20744000000002</v>
      </c>
      <c r="G43" s="92">
        <f t="shared" si="3"/>
        <v>574.04447999999991</v>
      </c>
      <c r="H43" s="124">
        <f t="shared" si="4"/>
        <v>797.28399999999999</v>
      </c>
      <c r="I43" s="124">
        <f t="shared" si="5"/>
        <v>877.01240000000007</v>
      </c>
      <c r="J43" s="125">
        <f t="shared" si="0"/>
        <v>1195.9259999999999</v>
      </c>
    </row>
    <row r="44" spans="1:10">
      <c r="A44" s="10" t="s">
        <v>1239</v>
      </c>
      <c r="B44" s="92">
        <f t="shared" si="1"/>
        <v>367.13159999999999</v>
      </c>
      <c r="C44" s="92">
        <f>('Цены на металл '!AA43*'Цены на металл '!$B$4*1.4)+'Цены на металл '!AB43</f>
        <v>407.92399999999998</v>
      </c>
      <c r="D44" s="92">
        <f t="shared" si="2"/>
        <v>448.71640000000002</v>
      </c>
      <c r="E44" s="92">
        <f t="shared" si="3"/>
        <v>489.50879999999995</v>
      </c>
      <c r="F44" s="92">
        <f t="shared" si="3"/>
        <v>538.45968000000005</v>
      </c>
      <c r="G44" s="92">
        <f t="shared" si="3"/>
        <v>587.41055999999992</v>
      </c>
      <c r="H44" s="124">
        <f t="shared" si="4"/>
        <v>815.84799999999996</v>
      </c>
      <c r="I44" s="124">
        <f t="shared" si="5"/>
        <v>897.43280000000004</v>
      </c>
      <c r="J44" s="125">
        <f t="shared" si="0"/>
        <v>1223.7719999999999</v>
      </c>
    </row>
    <row r="45" spans="1:10">
      <c r="A45" s="10" t="s">
        <v>1240</v>
      </c>
      <c r="B45" s="92">
        <f t="shared" si="1"/>
        <v>370.08</v>
      </c>
      <c r="C45" s="92">
        <f>('Цены на металл '!AA44*'Цены на металл '!$B$4*1.4)+'Цены на металл '!AB44</f>
        <v>411.2</v>
      </c>
      <c r="D45" s="92">
        <f t="shared" si="2"/>
        <v>452.32000000000005</v>
      </c>
      <c r="E45" s="92">
        <f t="shared" si="3"/>
        <v>493.43999999999994</v>
      </c>
      <c r="F45" s="92">
        <f t="shared" si="3"/>
        <v>542.78399999999999</v>
      </c>
      <c r="G45" s="92">
        <f t="shared" si="3"/>
        <v>592.12799999999993</v>
      </c>
      <c r="H45" s="124">
        <f t="shared" si="4"/>
        <v>822.4</v>
      </c>
      <c r="I45" s="124">
        <f t="shared" si="5"/>
        <v>904.6400000000001</v>
      </c>
      <c r="J45" s="125">
        <f t="shared" si="0"/>
        <v>1233.5999999999999</v>
      </c>
    </row>
    <row r="46" spans="1:10">
      <c r="A46" s="10" t="s">
        <v>1241</v>
      </c>
      <c r="B46" s="92">
        <f t="shared" si="1"/>
        <v>383.75729999999999</v>
      </c>
      <c r="C46" s="92">
        <f>('Цены на металл '!AA45*'Цены на металл '!$B$4*1.4)+'Цены на металл '!AB45</f>
        <v>426.39699999999999</v>
      </c>
      <c r="D46" s="92">
        <f t="shared" si="2"/>
        <v>469.03670000000005</v>
      </c>
      <c r="E46" s="92">
        <f t="shared" si="3"/>
        <v>511.67639999999994</v>
      </c>
      <c r="F46" s="92">
        <f t="shared" si="3"/>
        <v>562.84404000000006</v>
      </c>
      <c r="G46" s="92">
        <f t="shared" si="3"/>
        <v>614.01167999999996</v>
      </c>
      <c r="H46" s="124">
        <f t="shared" si="4"/>
        <v>852.79399999999998</v>
      </c>
      <c r="I46" s="124">
        <f t="shared" si="5"/>
        <v>938.07340000000011</v>
      </c>
      <c r="J46" s="125">
        <f t="shared" si="0"/>
        <v>1279.191</v>
      </c>
    </row>
    <row r="47" spans="1:10">
      <c r="A47" s="10" t="s">
        <v>1242</v>
      </c>
      <c r="B47" s="92">
        <f t="shared" si="1"/>
        <v>402.84</v>
      </c>
      <c r="C47" s="92">
        <f>('Цены на металл '!AA46*'Цены на металл '!$B$4*1.4)+'Цены на металл '!AB46</f>
        <v>447.59999999999997</v>
      </c>
      <c r="D47" s="92">
        <f t="shared" si="2"/>
        <v>492.36</v>
      </c>
      <c r="E47" s="92">
        <f t="shared" si="3"/>
        <v>537.11999999999989</v>
      </c>
      <c r="F47" s="92">
        <f t="shared" si="3"/>
        <v>590.83199999999999</v>
      </c>
      <c r="G47" s="92">
        <f t="shared" si="3"/>
        <v>644.54399999999987</v>
      </c>
      <c r="H47" s="124">
        <f t="shared" si="4"/>
        <v>895.19999999999993</v>
      </c>
      <c r="I47" s="124">
        <f t="shared" si="5"/>
        <v>984.72</v>
      </c>
      <c r="J47" s="125">
        <f t="shared" si="0"/>
        <v>1342.8</v>
      </c>
    </row>
    <row r="48" spans="1:10">
      <c r="A48" s="10" t="s">
        <v>1243</v>
      </c>
      <c r="B48" s="92">
        <f t="shared" si="1"/>
        <v>419.21999999999997</v>
      </c>
      <c r="C48" s="92">
        <f>('Цены на металл '!AA47*'Цены на металл '!$B$4*1.4)+'Цены на металл '!AB47</f>
        <v>465.79999999999995</v>
      </c>
      <c r="D48" s="92">
        <f t="shared" si="2"/>
        <v>512.38</v>
      </c>
      <c r="E48" s="92">
        <f t="shared" si="3"/>
        <v>558.95999999999992</v>
      </c>
      <c r="F48" s="92">
        <f t="shared" si="3"/>
        <v>614.85599999999999</v>
      </c>
      <c r="G48" s="92">
        <f t="shared" si="3"/>
        <v>670.75199999999984</v>
      </c>
      <c r="H48" s="124">
        <f t="shared" si="4"/>
        <v>931.59999999999991</v>
      </c>
      <c r="I48" s="124">
        <f t="shared" si="5"/>
        <v>1024.76</v>
      </c>
      <c r="J48" s="125">
        <f t="shared" si="0"/>
        <v>1397.3999999999999</v>
      </c>
    </row>
    <row r="49" spans="1:10">
      <c r="A49" s="10" t="s">
        <v>1244</v>
      </c>
      <c r="B49" s="92">
        <f t="shared" si="1"/>
        <v>435.6</v>
      </c>
      <c r="C49" s="92">
        <f>('Цены на металл '!AA48*'Цены на металл '!$B$4*1.4)+'Цены на металл '!AB48</f>
        <v>484</v>
      </c>
      <c r="D49" s="92">
        <f t="shared" si="2"/>
        <v>532.40000000000009</v>
      </c>
      <c r="E49" s="92">
        <f t="shared" si="3"/>
        <v>580.79999999999995</v>
      </c>
      <c r="F49" s="92">
        <f t="shared" si="3"/>
        <v>638.88000000000011</v>
      </c>
      <c r="G49" s="92">
        <f t="shared" si="3"/>
        <v>696.95999999999992</v>
      </c>
      <c r="H49" s="124">
        <f t="shared" si="4"/>
        <v>968</v>
      </c>
      <c r="I49" s="124">
        <f t="shared" si="5"/>
        <v>1064.8000000000002</v>
      </c>
      <c r="J49" s="125">
        <f t="shared" si="0"/>
        <v>1452</v>
      </c>
    </row>
    <row r="50" spans="1:10">
      <c r="A50" s="9" t="s">
        <v>1423</v>
      </c>
      <c r="B50" s="130"/>
      <c r="C50" s="130"/>
      <c r="D50" s="130"/>
      <c r="E50" s="130"/>
      <c r="F50" s="130"/>
      <c r="G50" s="130"/>
      <c r="H50" s="179"/>
      <c r="I50" s="179"/>
      <c r="J50" s="179"/>
    </row>
    <row r="51" spans="1:10">
      <c r="A51" s="10" t="s">
        <v>1245</v>
      </c>
      <c r="B51" s="92">
        <f t="shared" si="1"/>
        <v>36.659700000000001</v>
      </c>
      <c r="C51" s="92">
        <f>('Цены на металл '!AA50*'Цены на металл '!$B$4*1.4)+'Цены на металл '!AB50</f>
        <v>40.732999999999997</v>
      </c>
      <c r="D51" s="92">
        <f t="shared" si="2"/>
        <v>44.8063</v>
      </c>
      <c r="E51" s="92">
        <f t="shared" si="3"/>
        <v>48.879599999999996</v>
      </c>
      <c r="F51" s="92">
        <f t="shared" si="3"/>
        <v>53.767559999999996</v>
      </c>
      <c r="G51" s="92">
        <f t="shared" si="3"/>
        <v>58.655519999999996</v>
      </c>
      <c r="H51" s="124">
        <f t="shared" ref="H51:H59" si="6">C51*2</f>
        <v>81.465999999999994</v>
      </c>
      <c r="I51" s="124">
        <f t="shared" ref="I51:I59" si="7">D51*2</f>
        <v>89.6126</v>
      </c>
      <c r="J51" s="125">
        <f t="shared" ref="J51:J59" si="8">C51*3</f>
        <v>122.19899999999998</v>
      </c>
    </row>
    <row r="52" spans="1:10">
      <c r="A52" s="10" t="s">
        <v>1246</v>
      </c>
      <c r="B52" s="92">
        <f t="shared" si="1"/>
        <v>37.8063</v>
      </c>
      <c r="C52" s="92">
        <f>('Цены на металл '!AA51*'Цены на металл '!$B$4*1.4)+'Цены на металл '!AB51</f>
        <v>42.006999999999998</v>
      </c>
      <c r="D52" s="92">
        <f t="shared" si="2"/>
        <v>46.207700000000003</v>
      </c>
      <c r="E52" s="92">
        <f t="shared" si="3"/>
        <v>50.408399999999993</v>
      </c>
      <c r="F52" s="92">
        <f t="shared" si="3"/>
        <v>55.449240000000003</v>
      </c>
      <c r="G52" s="92">
        <f t="shared" si="3"/>
        <v>60.490079999999992</v>
      </c>
      <c r="H52" s="124">
        <f t="shared" si="6"/>
        <v>84.013999999999996</v>
      </c>
      <c r="I52" s="124">
        <f t="shared" si="7"/>
        <v>92.415400000000005</v>
      </c>
      <c r="J52" s="125">
        <f t="shared" si="8"/>
        <v>126.02099999999999</v>
      </c>
    </row>
    <row r="53" spans="1:10">
      <c r="A53" s="10" t="s">
        <v>1247</v>
      </c>
      <c r="B53" s="92">
        <f t="shared" si="1"/>
        <v>43.703099999999999</v>
      </c>
      <c r="C53" s="92">
        <f>('Цены на металл '!AA52*'Цены на металл '!$B$4*1.4)+'Цены на металл '!AB52</f>
        <v>48.558999999999997</v>
      </c>
      <c r="D53" s="92">
        <f t="shared" si="2"/>
        <v>53.414900000000003</v>
      </c>
      <c r="E53" s="92">
        <f t="shared" si="3"/>
        <v>58.270799999999994</v>
      </c>
      <c r="F53" s="92">
        <f t="shared" si="3"/>
        <v>64.097880000000004</v>
      </c>
      <c r="G53" s="92">
        <f t="shared" si="3"/>
        <v>69.924959999999984</v>
      </c>
      <c r="H53" s="124">
        <f t="shared" si="6"/>
        <v>97.117999999999995</v>
      </c>
      <c r="I53" s="124">
        <f t="shared" si="7"/>
        <v>106.82980000000001</v>
      </c>
      <c r="J53" s="125">
        <f t="shared" si="8"/>
        <v>145.67699999999999</v>
      </c>
    </row>
    <row r="54" spans="1:10">
      <c r="A54" s="10" t="s">
        <v>1248</v>
      </c>
      <c r="B54" s="92">
        <f t="shared" si="1"/>
        <v>53.694900000000004</v>
      </c>
      <c r="C54" s="92">
        <f>('Цены на металл '!AA53*'Цены на металл '!$B$4*1.4)+'Цены на металл '!AB53</f>
        <v>59.661000000000001</v>
      </c>
      <c r="D54" s="92">
        <f t="shared" si="2"/>
        <v>65.627100000000013</v>
      </c>
      <c r="E54" s="92">
        <f t="shared" si="3"/>
        <v>71.593199999999996</v>
      </c>
      <c r="F54" s="92">
        <f t="shared" si="3"/>
        <v>78.752520000000018</v>
      </c>
      <c r="G54" s="92">
        <f t="shared" si="3"/>
        <v>85.911839999999998</v>
      </c>
      <c r="H54" s="124">
        <f t="shared" si="6"/>
        <v>119.322</v>
      </c>
      <c r="I54" s="124">
        <f t="shared" si="7"/>
        <v>131.25420000000003</v>
      </c>
      <c r="J54" s="125">
        <f t="shared" si="8"/>
        <v>178.983</v>
      </c>
    </row>
    <row r="55" spans="1:10">
      <c r="A55" s="10" t="s">
        <v>1249</v>
      </c>
      <c r="B55" s="92">
        <f t="shared" si="1"/>
        <v>66.635099999999994</v>
      </c>
      <c r="C55" s="92">
        <f>('Цены на металл '!AA54*'Цены на металл '!$B$4*1.4)+'Цены на металл '!AB54</f>
        <v>74.038999999999987</v>
      </c>
      <c r="D55" s="92">
        <f t="shared" si="2"/>
        <v>81.442899999999995</v>
      </c>
      <c r="E55" s="92">
        <f t="shared" si="3"/>
        <v>88.846799999999988</v>
      </c>
      <c r="F55" s="92">
        <f t="shared" si="3"/>
        <v>97.731479999999991</v>
      </c>
      <c r="G55" s="92">
        <f t="shared" si="3"/>
        <v>106.61615999999998</v>
      </c>
      <c r="H55" s="124">
        <f t="shared" si="6"/>
        <v>148.07799999999997</v>
      </c>
      <c r="I55" s="124">
        <f t="shared" si="7"/>
        <v>162.88579999999999</v>
      </c>
      <c r="J55" s="125">
        <f t="shared" si="8"/>
        <v>222.11699999999996</v>
      </c>
    </row>
    <row r="56" spans="1:10">
      <c r="A56" s="10" t="s">
        <v>1250</v>
      </c>
      <c r="B56" s="92">
        <f t="shared" si="1"/>
        <v>82.523699999999991</v>
      </c>
      <c r="C56" s="92">
        <f>('Цены на металл '!AA55*'Цены на металл '!$B$4*1.4)+'Цены на металл '!AB55</f>
        <v>91.692999999999984</v>
      </c>
      <c r="D56" s="92">
        <f t="shared" si="2"/>
        <v>100.86229999999999</v>
      </c>
      <c r="E56" s="92">
        <f t="shared" si="3"/>
        <v>110.03159999999998</v>
      </c>
      <c r="F56" s="92">
        <f t="shared" si="3"/>
        <v>121.03475999999998</v>
      </c>
      <c r="G56" s="92">
        <f t="shared" si="3"/>
        <v>132.03791999999999</v>
      </c>
      <c r="H56" s="124">
        <f t="shared" si="6"/>
        <v>183.38599999999997</v>
      </c>
      <c r="I56" s="124">
        <f t="shared" si="7"/>
        <v>201.72459999999998</v>
      </c>
      <c r="J56" s="125">
        <f t="shared" si="8"/>
        <v>275.07899999999995</v>
      </c>
    </row>
    <row r="57" spans="1:10">
      <c r="A57" s="10" t="s">
        <v>1251</v>
      </c>
      <c r="B57" s="92">
        <f t="shared" si="1"/>
        <v>101.4426</v>
      </c>
      <c r="C57" s="92">
        <f>('Цены на металл '!AA56*'Цены на металл '!$B$4*1.4)+'Цены на металл '!AB56</f>
        <v>112.714</v>
      </c>
      <c r="D57" s="92">
        <f t="shared" si="2"/>
        <v>123.98540000000001</v>
      </c>
      <c r="E57" s="92">
        <f t="shared" si="3"/>
        <v>135.2568</v>
      </c>
      <c r="F57" s="92">
        <f t="shared" si="3"/>
        <v>148.78248000000002</v>
      </c>
      <c r="G57" s="92">
        <f t="shared" si="3"/>
        <v>162.30815999999999</v>
      </c>
      <c r="H57" s="124">
        <f t="shared" si="6"/>
        <v>225.428</v>
      </c>
      <c r="I57" s="124">
        <f t="shared" si="7"/>
        <v>247.97080000000003</v>
      </c>
      <c r="J57" s="125">
        <f t="shared" si="8"/>
        <v>338.142</v>
      </c>
    </row>
    <row r="58" spans="1:10">
      <c r="A58" s="10" t="s">
        <v>1252</v>
      </c>
      <c r="B58" s="92">
        <f t="shared" si="1"/>
        <v>119.37869999999998</v>
      </c>
      <c r="C58" s="92">
        <f>('Цены на металл '!AA57*'Цены на металл '!$B$4*1.4)+'Цены на металл '!AB57</f>
        <v>132.64299999999997</v>
      </c>
      <c r="D58" s="92">
        <f t="shared" si="2"/>
        <v>145.90729999999999</v>
      </c>
      <c r="E58" s="92">
        <f t="shared" si="3"/>
        <v>159.17159999999996</v>
      </c>
      <c r="F58" s="92">
        <f t="shared" si="3"/>
        <v>175.08875999999998</v>
      </c>
      <c r="G58" s="92">
        <f t="shared" si="3"/>
        <v>191.00591999999995</v>
      </c>
      <c r="H58" s="124">
        <f t="shared" si="6"/>
        <v>265.28599999999994</v>
      </c>
      <c r="I58" s="124">
        <f t="shared" si="7"/>
        <v>291.81459999999998</v>
      </c>
      <c r="J58" s="125">
        <f t="shared" si="8"/>
        <v>397.92899999999992</v>
      </c>
    </row>
    <row r="59" spans="1:10">
      <c r="A59" s="10" t="s">
        <v>1253</v>
      </c>
      <c r="B59" s="92">
        <f t="shared" si="1"/>
        <v>204.80040000000002</v>
      </c>
      <c r="C59" s="92">
        <f>('Цены на металл '!AA58*'Цены на металл '!$B$4*1.4)+'Цены на металл '!AB58</f>
        <v>227.55600000000001</v>
      </c>
      <c r="D59" s="92">
        <f t="shared" si="2"/>
        <v>250.31160000000003</v>
      </c>
      <c r="E59" s="92">
        <f t="shared" si="3"/>
        <v>273.06720000000001</v>
      </c>
      <c r="F59" s="92">
        <f t="shared" si="3"/>
        <v>300.37392</v>
      </c>
      <c r="G59" s="92">
        <f t="shared" si="3"/>
        <v>327.68063999999998</v>
      </c>
      <c r="H59" s="124">
        <f t="shared" si="6"/>
        <v>455.11200000000002</v>
      </c>
      <c r="I59" s="124">
        <f t="shared" si="7"/>
        <v>500.62320000000005</v>
      </c>
      <c r="J59" s="125">
        <f t="shared" si="8"/>
        <v>682.66800000000001</v>
      </c>
    </row>
    <row r="60" spans="1:10" ht="14.95" customHeight="1">
      <c r="A60" s="9" t="s">
        <v>1422</v>
      </c>
      <c r="B60" s="130"/>
      <c r="C60" s="130"/>
      <c r="D60" s="130"/>
      <c r="E60" s="130"/>
      <c r="F60" s="130"/>
      <c r="G60" s="130"/>
      <c r="H60" s="179"/>
      <c r="I60" s="179"/>
      <c r="J60" s="179"/>
    </row>
    <row r="61" spans="1:10" ht="14.95" customHeight="1">
      <c r="A61" s="10" t="s">
        <v>1254</v>
      </c>
      <c r="B61" s="92">
        <f t="shared" si="1"/>
        <v>120.28500000000001</v>
      </c>
      <c r="C61" s="92">
        <f>('Цены на металл '!AA60*'Цены на металл '!$B$4*1.4)+'Цены на металл '!AB60</f>
        <v>133.65</v>
      </c>
      <c r="D61" s="92">
        <f t="shared" si="2"/>
        <v>147.01500000000001</v>
      </c>
      <c r="E61" s="92">
        <f t="shared" si="3"/>
        <v>160.38</v>
      </c>
      <c r="F61" s="92">
        <f t="shared" si="3"/>
        <v>176.41800000000001</v>
      </c>
      <c r="G61" s="92">
        <f t="shared" si="3"/>
        <v>192.45599999999999</v>
      </c>
      <c r="H61" s="124">
        <f t="shared" ref="H61:H106" si="9">C61*2</f>
        <v>267.3</v>
      </c>
      <c r="I61" s="124">
        <f t="shared" ref="I61:I106" si="10">D61*2</f>
        <v>294.03000000000003</v>
      </c>
      <c r="J61" s="125">
        <f t="shared" ref="J61:J106" si="11">C61*3</f>
        <v>400.95000000000005</v>
      </c>
    </row>
    <row r="62" spans="1:10" ht="14.95" customHeight="1">
      <c r="A62" s="10" t="s">
        <v>1255</v>
      </c>
      <c r="B62" s="92">
        <f t="shared" si="1"/>
        <v>121.75920000000001</v>
      </c>
      <c r="C62" s="92">
        <f>('Цены на металл '!AA61*'Цены на металл '!$B$4*1.4)+'Цены на металл '!AB61</f>
        <v>135.28800000000001</v>
      </c>
      <c r="D62" s="92">
        <f t="shared" si="2"/>
        <v>148.81680000000003</v>
      </c>
      <c r="E62" s="92">
        <f t="shared" si="3"/>
        <v>162.34560000000002</v>
      </c>
      <c r="F62" s="92">
        <f t="shared" si="3"/>
        <v>178.58016000000003</v>
      </c>
      <c r="G62" s="92">
        <f t="shared" si="3"/>
        <v>194.81472000000002</v>
      </c>
      <c r="H62" s="124">
        <f t="shared" si="9"/>
        <v>270.57600000000002</v>
      </c>
      <c r="I62" s="124">
        <f t="shared" si="10"/>
        <v>297.63360000000006</v>
      </c>
      <c r="J62" s="125">
        <f t="shared" si="11"/>
        <v>405.86400000000003</v>
      </c>
    </row>
    <row r="63" spans="1:10" ht="14.95" customHeight="1">
      <c r="A63" s="10" t="s">
        <v>1256</v>
      </c>
      <c r="B63" s="92">
        <f t="shared" si="1"/>
        <v>122.33250000000001</v>
      </c>
      <c r="C63" s="92">
        <f>('Цены на металл '!AA62*'Цены на металл '!$B$4*1.4)+'Цены на металл '!AB62</f>
        <v>135.92500000000001</v>
      </c>
      <c r="D63" s="92">
        <f t="shared" si="2"/>
        <v>149.51750000000001</v>
      </c>
      <c r="E63" s="92">
        <f t="shared" si="3"/>
        <v>163.11000000000001</v>
      </c>
      <c r="F63" s="92">
        <f t="shared" si="3"/>
        <v>179.42100000000002</v>
      </c>
      <c r="G63" s="92">
        <f t="shared" si="3"/>
        <v>195.732</v>
      </c>
      <c r="H63" s="124">
        <f t="shared" si="9"/>
        <v>271.85000000000002</v>
      </c>
      <c r="I63" s="124">
        <f t="shared" si="10"/>
        <v>299.03500000000003</v>
      </c>
      <c r="J63" s="125">
        <f t="shared" si="11"/>
        <v>407.77500000000003</v>
      </c>
    </row>
    <row r="64" spans="1:10" ht="14.95" customHeight="1">
      <c r="A64" s="10" t="s">
        <v>1257</v>
      </c>
      <c r="B64" s="92">
        <f t="shared" si="1"/>
        <v>123.39720000000001</v>
      </c>
      <c r="C64" s="92">
        <f>('Цены на металл '!AA63*'Цены на металл '!$B$4*1.4)+'Цены на металл '!AB63</f>
        <v>137.108</v>
      </c>
      <c r="D64" s="92">
        <f t="shared" si="2"/>
        <v>150.81880000000001</v>
      </c>
      <c r="E64" s="92">
        <f t="shared" si="3"/>
        <v>164.52959999999999</v>
      </c>
      <c r="F64" s="92">
        <f t="shared" si="3"/>
        <v>180.98256000000001</v>
      </c>
      <c r="G64" s="92">
        <f t="shared" si="3"/>
        <v>197.43551999999997</v>
      </c>
      <c r="H64" s="124">
        <f t="shared" si="9"/>
        <v>274.21600000000001</v>
      </c>
      <c r="I64" s="124">
        <f t="shared" si="10"/>
        <v>301.63760000000002</v>
      </c>
      <c r="J64" s="125">
        <f t="shared" si="11"/>
        <v>411.32400000000001</v>
      </c>
    </row>
    <row r="65" spans="1:10" ht="14.95" customHeight="1">
      <c r="A65" s="10" t="s">
        <v>1258</v>
      </c>
      <c r="B65" s="92">
        <f t="shared" si="1"/>
        <v>129.53970000000001</v>
      </c>
      <c r="C65" s="92">
        <f>('Цены на металл '!AA64*'Цены на металл '!$B$4*1.4)+'Цены на металл '!AB64</f>
        <v>143.93299999999999</v>
      </c>
      <c r="D65" s="92">
        <f t="shared" si="2"/>
        <v>158.3263</v>
      </c>
      <c r="E65" s="92">
        <f t="shared" si="3"/>
        <v>172.71959999999999</v>
      </c>
      <c r="F65" s="92">
        <f t="shared" si="3"/>
        <v>189.99155999999999</v>
      </c>
      <c r="G65" s="92">
        <f t="shared" si="3"/>
        <v>207.26351999999997</v>
      </c>
      <c r="H65" s="124">
        <f t="shared" si="9"/>
        <v>287.86599999999999</v>
      </c>
      <c r="I65" s="124">
        <f t="shared" si="10"/>
        <v>316.65260000000001</v>
      </c>
      <c r="J65" s="125">
        <f t="shared" si="11"/>
        <v>431.79899999999998</v>
      </c>
    </row>
    <row r="66" spans="1:10" ht="14.95" customHeight="1">
      <c r="A66" s="10" t="s">
        <v>1259</v>
      </c>
      <c r="B66" s="92">
        <f t="shared" si="1"/>
        <v>131.66910000000001</v>
      </c>
      <c r="C66" s="92">
        <f>('Цены на металл '!AA65*'Цены на металл '!$B$4*1.4)+'Цены на металл '!AB65</f>
        <v>146.29900000000001</v>
      </c>
      <c r="D66" s="92">
        <f t="shared" si="2"/>
        <v>160.92890000000003</v>
      </c>
      <c r="E66" s="92">
        <f t="shared" si="3"/>
        <v>175.55879999999999</v>
      </c>
      <c r="F66" s="92">
        <f t="shared" si="3"/>
        <v>193.11468000000002</v>
      </c>
      <c r="G66" s="92">
        <f t="shared" si="3"/>
        <v>210.67055999999999</v>
      </c>
      <c r="H66" s="124">
        <f t="shared" si="9"/>
        <v>292.59800000000001</v>
      </c>
      <c r="I66" s="124">
        <f t="shared" si="10"/>
        <v>321.85780000000005</v>
      </c>
      <c r="J66" s="125">
        <f t="shared" si="11"/>
        <v>438.89700000000005</v>
      </c>
    </row>
    <row r="67" spans="1:10" ht="14.95" customHeight="1">
      <c r="A67" s="10" t="s">
        <v>1260</v>
      </c>
      <c r="B67" s="92">
        <f t="shared" si="1"/>
        <v>132.65189999999998</v>
      </c>
      <c r="C67" s="92">
        <f>('Цены на металл '!AA66*'Цены на металл '!$B$4*1.4)+'Цены на металл '!AB66</f>
        <v>147.39099999999999</v>
      </c>
      <c r="D67" s="92">
        <f t="shared" si="2"/>
        <v>162.1301</v>
      </c>
      <c r="E67" s="92">
        <f t="shared" si="3"/>
        <v>176.86919999999998</v>
      </c>
      <c r="F67" s="92">
        <f t="shared" si="3"/>
        <v>194.55611999999999</v>
      </c>
      <c r="G67" s="92">
        <f t="shared" si="3"/>
        <v>212.24303999999998</v>
      </c>
      <c r="H67" s="124">
        <f t="shared" si="9"/>
        <v>294.78199999999998</v>
      </c>
      <c r="I67" s="124">
        <f t="shared" si="10"/>
        <v>324.2602</v>
      </c>
      <c r="J67" s="125">
        <f t="shared" si="11"/>
        <v>442.173</v>
      </c>
    </row>
    <row r="68" spans="1:10" ht="14.95" customHeight="1">
      <c r="A68" s="10" t="s">
        <v>1261</v>
      </c>
      <c r="B68" s="92">
        <f t="shared" si="1"/>
        <v>135.846</v>
      </c>
      <c r="C68" s="92">
        <f>('Цены на металл '!AA67*'Цены на металл '!$B$4*1.4)+'Цены на металл '!AB67</f>
        <v>150.94</v>
      </c>
      <c r="D68" s="92">
        <f t="shared" si="2"/>
        <v>166.03400000000002</v>
      </c>
      <c r="E68" s="92">
        <f t="shared" si="3"/>
        <v>181.12799999999999</v>
      </c>
      <c r="F68" s="92">
        <f t="shared" si="3"/>
        <v>199.24080000000001</v>
      </c>
      <c r="G68" s="92">
        <f t="shared" si="3"/>
        <v>217.35359999999997</v>
      </c>
      <c r="H68" s="124">
        <f t="shared" si="9"/>
        <v>301.88</v>
      </c>
      <c r="I68" s="124">
        <f t="shared" si="10"/>
        <v>332.06800000000004</v>
      </c>
      <c r="J68" s="125">
        <f t="shared" si="11"/>
        <v>452.82</v>
      </c>
    </row>
    <row r="69" spans="1:10" ht="14.95" customHeight="1">
      <c r="A69" s="10" t="s">
        <v>1262</v>
      </c>
      <c r="B69" s="92">
        <f t="shared" ref="B69:B132" si="12">C69*0.9</f>
        <v>140.10480000000001</v>
      </c>
      <c r="C69" s="92">
        <f>('Цены на металл '!AA68*'Цены на металл '!$B$4*1.4)+'Цены на металл '!AB68</f>
        <v>155.672</v>
      </c>
      <c r="D69" s="92">
        <f t="shared" ref="D69:D132" si="13">C69*1.1</f>
        <v>171.23920000000001</v>
      </c>
      <c r="E69" s="92">
        <f t="shared" ref="E69:G132" si="14">C69*1.2</f>
        <v>186.8064</v>
      </c>
      <c r="F69" s="92">
        <f t="shared" si="14"/>
        <v>205.48704000000001</v>
      </c>
      <c r="G69" s="92">
        <f t="shared" si="14"/>
        <v>224.16767999999999</v>
      </c>
      <c r="H69" s="124">
        <f t="shared" si="9"/>
        <v>311.34399999999999</v>
      </c>
      <c r="I69" s="124">
        <f t="shared" si="10"/>
        <v>342.47840000000002</v>
      </c>
      <c r="J69" s="125">
        <f t="shared" si="11"/>
        <v>467.01599999999996</v>
      </c>
    </row>
    <row r="70" spans="1:10" ht="14.95" customHeight="1">
      <c r="A70" s="10" t="s">
        <v>1263</v>
      </c>
      <c r="B70" s="92">
        <f t="shared" si="12"/>
        <v>136.8288</v>
      </c>
      <c r="C70" s="92">
        <f>('Цены на металл '!AA69*'Цены на металл '!$B$4*1.4)+'Цены на металл '!AB69</f>
        <v>152.03199999999998</v>
      </c>
      <c r="D70" s="92">
        <f t="shared" si="13"/>
        <v>167.23519999999999</v>
      </c>
      <c r="E70" s="92">
        <f t="shared" si="14"/>
        <v>182.43839999999997</v>
      </c>
      <c r="F70" s="92">
        <f t="shared" si="14"/>
        <v>200.68223999999998</v>
      </c>
      <c r="G70" s="92">
        <f t="shared" si="14"/>
        <v>218.92607999999996</v>
      </c>
      <c r="H70" s="124">
        <f t="shared" si="9"/>
        <v>304.06399999999996</v>
      </c>
      <c r="I70" s="124">
        <f t="shared" si="10"/>
        <v>334.47039999999998</v>
      </c>
      <c r="J70" s="125">
        <f t="shared" si="11"/>
        <v>456.09599999999995</v>
      </c>
    </row>
    <row r="71" spans="1:10" ht="14.95" customHeight="1">
      <c r="A71" s="10" t="s">
        <v>1264</v>
      </c>
      <c r="B71" s="92">
        <f t="shared" si="12"/>
        <v>139.0401</v>
      </c>
      <c r="C71" s="92">
        <f>('Цены на металл '!AA70*'Цены на металл '!$B$4*1.4)+'Цены на металл '!AB70</f>
        <v>154.489</v>
      </c>
      <c r="D71" s="92">
        <f t="shared" si="13"/>
        <v>169.93790000000001</v>
      </c>
      <c r="E71" s="92">
        <f t="shared" si="14"/>
        <v>185.38679999999999</v>
      </c>
      <c r="F71" s="92">
        <f t="shared" si="14"/>
        <v>203.92548000000002</v>
      </c>
      <c r="G71" s="92">
        <f t="shared" si="14"/>
        <v>222.46415999999999</v>
      </c>
      <c r="H71" s="124">
        <f t="shared" si="9"/>
        <v>308.97800000000001</v>
      </c>
      <c r="I71" s="124">
        <f t="shared" si="10"/>
        <v>339.87580000000003</v>
      </c>
      <c r="J71" s="125">
        <f t="shared" si="11"/>
        <v>463.46699999999998</v>
      </c>
    </row>
    <row r="72" spans="1:10" ht="14.95" customHeight="1">
      <c r="A72" s="10" t="s">
        <v>1265</v>
      </c>
      <c r="B72" s="92">
        <f t="shared" si="12"/>
        <v>151.2432</v>
      </c>
      <c r="C72" s="92">
        <f>('Цены на металл '!AA71*'Цены на металл '!$B$4*1.4)+'Цены на металл '!AB71</f>
        <v>168.048</v>
      </c>
      <c r="D72" s="92">
        <f t="shared" si="13"/>
        <v>184.85280000000003</v>
      </c>
      <c r="E72" s="92">
        <f t="shared" si="14"/>
        <v>201.6576</v>
      </c>
      <c r="F72" s="92">
        <f t="shared" si="14"/>
        <v>221.82336000000004</v>
      </c>
      <c r="G72" s="92">
        <f t="shared" si="14"/>
        <v>241.98911999999999</v>
      </c>
      <c r="H72" s="124">
        <f t="shared" si="9"/>
        <v>336.096</v>
      </c>
      <c r="I72" s="124">
        <f t="shared" si="10"/>
        <v>369.70560000000006</v>
      </c>
      <c r="J72" s="125">
        <f t="shared" si="11"/>
        <v>504.14400000000001</v>
      </c>
    </row>
    <row r="73" spans="1:10" ht="14.95" customHeight="1">
      <c r="A73" s="10" t="s">
        <v>1266</v>
      </c>
      <c r="B73" s="92">
        <f t="shared" si="12"/>
        <v>153.04500000000002</v>
      </c>
      <c r="C73" s="92">
        <f>('Цены на металл '!AA72*'Цены на металл '!$B$4*1.4)+'Цены на металл '!AB72</f>
        <v>170.05</v>
      </c>
      <c r="D73" s="92">
        <f t="shared" si="13"/>
        <v>187.05500000000004</v>
      </c>
      <c r="E73" s="92">
        <f t="shared" si="14"/>
        <v>204.06</v>
      </c>
      <c r="F73" s="92">
        <f t="shared" si="14"/>
        <v>224.46600000000004</v>
      </c>
      <c r="G73" s="92">
        <f t="shared" si="14"/>
        <v>244.87199999999999</v>
      </c>
      <c r="H73" s="124">
        <f t="shared" si="9"/>
        <v>340.1</v>
      </c>
      <c r="I73" s="124">
        <f t="shared" si="10"/>
        <v>374.11000000000007</v>
      </c>
      <c r="J73" s="125">
        <f t="shared" si="11"/>
        <v>510.15000000000003</v>
      </c>
    </row>
    <row r="74" spans="1:10" ht="14.95" customHeight="1">
      <c r="A74" s="10" t="s">
        <v>1267</v>
      </c>
      <c r="B74" s="92">
        <f t="shared" si="12"/>
        <v>150.34229999999999</v>
      </c>
      <c r="C74" s="92">
        <f>('Цены на металл '!AA73*'Цены на металл '!$B$4*1.4)+'Цены на металл '!AB73</f>
        <v>167.047</v>
      </c>
      <c r="D74" s="92">
        <f t="shared" si="13"/>
        <v>183.7517</v>
      </c>
      <c r="E74" s="92">
        <f t="shared" si="14"/>
        <v>200.4564</v>
      </c>
      <c r="F74" s="92">
        <f t="shared" si="14"/>
        <v>220.50203999999999</v>
      </c>
      <c r="G74" s="92">
        <f t="shared" si="14"/>
        <v>240.54767999999999</v>
      </c>
      <c r="H74" s="124">
        <f t="shared" si="9"/>
        <v>334.09399999999999</v>
      </c>
      <c r="I74" s="124">
        <f t="shared" si="10"/>
        <v>367.5034</v>
      </c>
      <c r="J74" s="125">
        <f t="shared" si="11"/>
        <v>501.14099999999996</v>
      </c>
    </row>
    <row r="75" spans="1:10" ht="14.95" customHeight="1">
      <c r="A75" s="10" t="s">
        <v>1268</v>
      </c>
      <c r="B75" s="92">
        <f t="shared" si="12"/>
        <v>153.12690000000003</v>
      </c>
      <c r="C75" s="92">
        <f>('Цены на металл '!AA74*'Цены на металл '!$B$4*1.4)+'Цены на металл '!AB74</f>
        <v>170.14100000000002</v>
      </c>
      <c r="D75" s="92">
        <f t="shared" si="13"/>
        <v>187.15510000000003</v>
      </c>
      <c r="E75" s="92">
        <f t="shared" si="14"/>
        <v>204.16920000000002</v>
      </c>
      <c r="F75" s="92">
        <f t="shared" si="14"/>
        <v>224.58612000000002</v>
      </c>
      <c r="G75" s="92">
        <f t="shared" si="14"/>
        <v>245.00304</v>
      </c>
      <c r="H75" s="124">
        <f t="shared" si="9"/>
        <v>340.28200000000004</v>
      </c>
      <c r="I75" s="124">
        <f t="shared" si="10"/>
        <v>374.31020000000007</v>
      </c>
      <c r="J75" s="125">
        <f t="shared" si="11"/>
        <v>510.42300000000006</v>
      </c>
    </row>
    <row r="76" spans="1:10" ht="14.95" customHeight="1">
      <c r="A76" s="10" t="s">
        <v>1269</v>
      </c>
      <c r="B76" s="92">
        <f t="shared" si="12"/>
        <v>154.68300000000002</v>
      </c>
      <c r="C76" s="92">
        <f>('Цены на металл '!AA75*'Цены на металл '!$B$4*1.4)+'Цены на металл '!AB75</f>
        <v>171.87</v>
      </c>
      <c r="D76" s="92">
        <f t="shared" si="13"/>
        <v>189.05700000000002</v>
      </c>
      <c r="E76" s="92">
        <f t="shared" si="14"/>
        <v>206.244</v>
      </c>
      <c r="F76" s="92">
        <f t="shared" si="14"/>
        <v>226.86840000000001</v>
      </c>
      <c r="G76" s="92">
        <f t="shared" si="14"/>
        <v>247.49279999999999</v>
      </c>
      <c r="H76" s="124">
        <f t="shared" si="9"/>
        <v>343.74</v>
      </c>
      <c r="I76" s="124">
        <f t="shared" si="10"/>
        <v>378.11400000000003</v>
      </c>
      <c r="J76" s="125">
        <f t="shared" si="11"/>
        <v>515.61</v>
      </c>
    </row>
    <row r="77" spans="1:10" ht="14.95" customHeight="1">
      <c r="A77" s="10" t="s">
        <v>1270</v>
      </c>
      <c r="B77" s="92">
        <f t="shared" si="12"/>
        <v>154.27349999999998</v>
      </c>
      <c r="C77" s="92">
        <f>('Цены на металл '!AA76*'Цены на металл '!$B$4*1.4)+'Цены на металл '!AB76</f>
        <v>171.41499999999999</v>
      </c>
      <c r="D77" s="92">
        <f t="shared" si="13"/>
        <v>188.5565</v>
      </c>
      <c r="E77" s="92">
        <f t="shared" si="14"/>
        <v>205.69799999999998</v>
      </c>
      <c r="F77" s="92">
        <f t="shared" si="14"/>
        <v>226.26779999999999</v>
      </c>
      <c r="G77" s="92">
        <f t="shared" si="14"/>
        <v>246.83759999999995</v>
      </c>
      <c r="H77" s="124">
        <f t="shared" si="9"/>
        <v>342.83</v>
      </c>
      <c r="I77" s="124">
        <f t="shared" si="10"/>
        <v>377.113</v>
      </c>
      <c r="J77" s="125">
        <f t="shared" si="11"/>
        <v>514.245</v>
      </c>
    </row>
    <row r="78" spans="1:10" ht="14.95" customHeight="1">
      <c r="A78" s="10" t="s">
        <v>1271</v>
      </c>
      <c r="B78" s="92">
        <f t="shared" si="12"/>
        <v>164.511</v>
      </c>
      <c r="C78" s="92">
        <f>('Цены на металл '!AA77*'Цены на металл '!$B$4*1.4)+'Цены на металл '!AB77</f>
        <v>182.79</v>
      </c>
      <c r="D78" s="92">
        <f t="shared" si="13"/>
        <v>201.06900000000002</v>
      </c>
      <c r="E78" s="92">
        <f t="shared" si="14"/>
        <v>219.34799999999998</v>
      </c>
      <c r="F78" s="92">
        <f t="shared" si="14"/>
        <v>241.28280000000001</v>
      </c>
      <c r="G78" s="92">
        <f t="shared" si="14"/>
        <v>263.21759999999995</v>
      </c>
      <c r="H78" s="124">
        <f t="shared" si="9"/>
        <v>365.58</v>
      </c>
      <c r="I78" s="124">
        <f t="shared" si="10"/>
        <v>402.13800000000003</v>
      </c>
      <c r="J78" s="125">
        <f t="shared" si="11"/>
        <v>548.37</v>
      </c>
    </row>
    <row r="79" spans="1:10" ht="14.95" customHeight="1">
      <c r="A79" s="10" t="s">
        <v>1272</v>
      </c>
      <c r="B79" s="92">
        <f t="shared" si="12"/>
        <v>173.52</v>
      </c>
      <c r="C79" s="92">
        <f>('Цены на металл '!AA78*'Цены на металл '!$B$4*1.4)+'Цены на металл '!AB78</f>
        <v>192.8</v>
      </c>
      <c r="D79" s="92">
        <f t="shared" si="13"/>
        <v>212.08000000000004</v>
      </c>
      <c r="E79" s="92">
        <f t="shared" si="14"/>
        <v>231.36</v>
      </c>
      <c r="F79" s="92">
        <f t="shared" si="14"/>
        <v>254.49600000000004</v>
      </c>
      <c r="G79" s="92">
        <f t="shared" si="14"/>
        <v>277.63200000000001</v>
      </c>
      <c r="H79" s="124">
        <f t="shared" si="9"/>
        <v>385.6</v>
      </c>
      <c r="I79" s="124">
        <f t="shared" si="10"/>
        <v>424.16000000000008</v>
      </c>
      <c r="J79" s="125">
        <f t="shared" si="11"/>
        <v>578.40000000000009</v>
      </c>
    </row>
    <row r="80" spans="1:10" ht="14.95" customHeight="1">
      <c r="A80" s="10" t="s">
        <v>1273</v>
      </c>
      <c r="B80" s="92">
        <f t="shared" si="12"/>
        <v>192.6027</v>
      </c>
      <c r="C80" s="92">
        <f>('Цены на металл '!AA79*'Цены на металл '!$B$4*1.4)+'Цены на металл '!AB79</f>
        <v>214.00299999999999</v>
      </c>
      <c r="D80" s="92">
        <f t="shared" si="13"/>
        <v>235.4033</v>
      </c>
      <c r="E80" s="92">
        <f t="shared" si="14"/>
        <v>256.80359999999996</v>
      </c>
      <c r="F80" s="92">
        <f t="shared" si="14"/>
        <v>282.48395999999997</v>
      </c>
      <c r="G80" s="92">
        <f t="shared" si="14"/>
        <v>308.16431999999992</v>
      </c>
      <c r="H80" s="124">
        <f t="shared" si="9"/>
        <v>428.00599999999997</v>
      </c>
      <c r="I80" s="124">
        <f t="shared" si="10"/>
        <v>470.8066</v>
      </c>
      <c r="J80" s="125">
        <f t="shared" si="11"/>
        <v>642.00900000000001</v>
      </c>
    </row>
    <row r="81" spans="1:10" ht="14.95" customHeight="1">
      <c r="A81" s="10" t="s">
        <v>1274</v>
      </c>
      <c r="B81" s="92">
        <f t="shared" si="12"/>
        <v>169.42500000000001</v>
      </c>
      <c r="C81" s="92">
        <f>('Цены на металл '!AA80*'Цены на металл '!$B$4*1.4)+'Цены на металл '!AB80</f>
        <v>188.25</v>
      </c>
      <c r="D81" s="92">
        <f t="shared" si="13"/>
        <v>207.07500000000002</v>
      </c>
      <c r="E81" s="92">
        <f t="shared" si="14"/>
        <v>225.9</v>
      </c>
      <c r="F81" s="92">
        <f t="shared" si="14"/>
        <v>248.49</v>
      </c>
      <c r="G81" s="92">
        <f t="shared" si="14"/>
        <v>271.08</v>
      </c>
      <c r="H81" s="124">
        <f t="shared" si="9"/>
        <v>376.5</v>
      </c>
      <c r="I81" s="124">
        <f t="shared" si="10"/>
        <v>414.15000000000003</v>
      </c>
      <c r="J81" s="125">
        <f t="shared" si="11"/>
        <v>564.75</v>
      </c>
    </row>
    <row r="82" spans="1:10" ht="14.95" customHeight="1">
      <c r="A82" s="10" t="s">
        <v>1275</v>
      </c>
      <c r="B82" s="92">
        <f t="shared" si="12"/>
        <v>177.61500000000001</v>
      </c>
      <c r="C82" s="92">
        <f>('Цены на металл '!AA81*'Цены на металл '!$B$4*1.4)+'Цены на металл '!AB81</f>
        <v>197.35</v>
      </c>
      <c r="D82" s="92">
        <f t="shared" si="13"/>
        <v>217.08500000000001</v>
      </c>
      <c r="E82" s="92">
        <f t="shared" si="14"/>
        <v>236.82</v>
      </c>
      <c r="F82" s="92">
        <f t="shared" si="14"/>
        <v>260.50200000000001</v>
      </c>
      <c r="G82" s="92">
        <f t="shared" si="14"/>
        <v>284.18399999999997</v>
      </c>
      <c r="H82" s="124">
        <f t="shared" si="9"/>
        <v>394.7</v>
      </c>
      <c r="I82" s="124">
        <f t="shared" si="10"/>
        <v>434.17</v>
      </c>
      <c r="J82" s="125">
        <f t="shared" si="11"/>
        <v>592.04999999999995</v>
      </c>
    </row>
    <row r="83" spans="1:10" ht="14.95" customHeight="1">
      <c r="A83" s="10" t="s">
        <v>1276</v>
      </c>
      <c r="B83" s="92">
        <f t="shared" si="12"/>
        <v>185.80500000000001</v>
      </c>
      <c r="C83" s="92">
        <f>('Цены на металл '!AA82*'Цены на металл '!$B$4*1.4)+'Цены на металл '!AB82</f>
        <v>206.45</v>
      </c>
      <c r="D83" s="92">
        <f t="shared" si="13"/>
        <v>227.095</v>
      </c>
      <c r="E83" s="92">
        <f t="shared" si="14"/>
        <v>247.73999999999998</v>
      </c>
      <c r="F83" s="92">
        <f t="shared" si="14"/>
        <v>272.51400000000001</v>
      </c>
      <c r="G83" s="92">
        <f t="shared" si="14"/>
        <v>297.28799999999995</v>
      </c>
      <c r="H83" s="124">
        <f t="shared" si="9"/>
        <v>412.9</v>
      </c>
      <c r="I83" s="124">
        <f t="shared" si="10"/>
        <v>454.19</v>
      </c>
      <c r="J83" s="125">
        <f t="shared" si="11"/>
        <v>619.34999999999991</v>
      </c>
    </row>
    <row r="84" spans="1:10" ht="14.95" customHeight="1">
      <c r="A84" s="10" t="s">
        <v>1277</v>
      </c>
      <c r="B84" s="92">
        <f t="shared" si="12"/>
        <v>198.09</v>
      </c>
      <c r="C84" s="92">
        <f>('Цены на металл '!AA83*'Цены на металл '!$B$4*1.4)+'Цены на металл '!AB83</f>
        <v>220.1</v>
      </c>
      <c r="D84" s="92">
        <f t="shared" si="13"/>
        <v>242.11</v>
      </c>
      <c r="E84" s="92">
        <f t="shared" si="14"/>
        <v>264.12</v>
      </c>
      <c r="F84" s="92">
        <f t="shared" si="14"/>
        <v>290.53199999999998</v>
      </c>
      <c r="G84" s="92">
        <f t="shared" si="14"/>
        <v>316.94400000000002</v>
      </c>
      <c r="H84" s="124">
        <f t="shared" si="9"/>
        <v>440.2</v>
      </c>
      <c r="I84" s="124">
        <f t="shared" si="10"/>
        <v>484.22</v>
      </c>
      <c r="J84" s="125">
        <f t="shared" si="11"/>
        <v>660.3</v>
      </c>
    </row>
    <row r="85" spans="1:10" ht="14.95" customHeight="1">
      <c r="A85" s="10" t="s">
        <v>1278</v>
      </c>
      <c r="B85" s="92">
        <f t="shared" si="12"/>
        <v>214.47000000000003</v>
      </c>
      <c r="C85" s="92">
        <f>('Цены на металл '!AA84*'Цены на металл '!$B$4*1.4)+'Цены на металл '!AB84</f>
        <v>238.3</v>
      </c>
      <c r="D85" s="92">
        <f t="shared" si="13"/>
        <v>262.13000000000005</v>
      </c>
      <c r="E85" s="92">
        <f t="shared" si="14"/>
        <v>285.95999999999998</v>
      </c>
      <c r="F85" s="92">
        <f t="shared" si="14"/>
        <v>314.55600000000004</v>
      </c>
      <c r="G85" s="92">
        <f t="shared" si="14"/>
        <v>343.15199999999999</v>
      </c>
      <c r="H85" s="124">
        <f t="shared" si="9"/>
        <v>476.6</v>
      </c>
      <c r="I85" s="124">
        <f t="shared" si="10"/>
        <v>524.2600000000001</v>
      </c>
      <c r="J85" s="125">
        <f t="shared" si="11"/>
        <v>714.90000000000009</v>
      </c>
    </row>
    <row r="86" spans="1:10" ht="14.95" customHeight="1">
      <c r="A86" s="10" t="s">
        <v>1279</v>
      </c>
      <c r="B86" s="92">
        <f t="shared" si="12"/>
        <v>178.9254</v>
      </c>
      <c r="C86" s="92">
        <f>('Цены на металл '!AA85*'Цены на металл '!$B$4*1.4)+'Цены на металл '!AB85</f>
        <v>198.80599999999998</v>
      </c>
      <c r="D86" s="92">
        <f t="shared" si="13"/>
        <v>218.6866</v>
      </c>
      <c r="E86" s="92">
        <f t="shared" si="14"/>
        <v>238.56719999999996</v>
      </c>
      <c r="F86" s="92">
        <f t="shared" si="14"/>
        <v>262.42392000000001</v>
      </c>
      <c r="G86" s="92">
        <f t="shared" si="14"/>
        <v>286.28063999999995</v>
      </c>
      <c r="H86" s="124">
        <f t="shared" si="9"/>
        <v>397.61199999999997</v>
      </c>
      <c r="I86" s="124">
        <f t="shared" si="10"/>
        <v>437.3732</v>
      </c>
      <c r="J86" s="125">
        <f t="shared" si="11"/>
        <v>596.41799999999989</v>
      </c>
    </row>
    <row r="87" spans="1:10" ht="14.95" customHeight="1">
      <c r="A87" s="10" t="s">
        <v>1280</v>
      </c>
      <c r="B87" s="92">
        <f t="shared" si="12"/>
        <v>182.44710000000001</v>
      </c>
      <c r="C87" s="92">
        <f>('Цены на металл '!AA86*'Цены на металл '!$B$4*1.4)+'Цены на металл '!AB86</f>
        <v>202.71899999999999</v>
      </c>
      <c r="D87" s="92">
        <f t="shared" si="13"/>
        <v>222.99090000000001</v>
      </c>
      <c r="E87" s="92">
        <f t="shared" si="14"/>
        <v>243.26279999999997</v>
      </c>
      <c r="F87" s="92">
        <f t="shared" si="14"/>
        <v>267.58908000000002</v>
      </c>
      <c r="G87" s="92">
        <f t="shared" si="14"/>
        <v>291.91535999999996</v>
      </c>
      <c r="H87" s="124">
        <f t="shared" si="9"/>
        <v>405.43799999999999</v>
      </c>
      <c r="I87" s="124">
        <f t="shared" si="10"/>
        <v>445.98180000000002</v>
      </c>
      <c r="J87" s="125">
        <f t="shared" si="11"/>
        <v>608.15699999999993</v>
      </c>
    </row>
    <row r="88" spans="1:10" ht="14.95" customHeight="1">
      <c r="A88" s="10" t="s">
        <v>1281</v>
      </c>
      <c r="B88" s="92">
        <f t="shared" si="12"/>
        <v>183.34800000000001</v>
      </c>
      <c r="C88" s="92">
        <f>('Цены на металл '!AA87*'Цены на металл '!$B$4*1.4)+'Цены на металл '!AB87</f>
        <v>203.72</v>
      </c>
      <c r="D88" s="92">
        <f t="shared" si="13"/>
        <v>224.09200000000001</v>
      </c>
      <c r="E88" s="92">
        <f t="shared" si="14"/>
        <v>244.464</v>
      </c>
      <c r="F88" s="92">
        <f t="shared" si="14"/>
        <v>268.91039999999998</v>
      </c>
      <c r="G88" s="92">
        <f t="shared" si="14"/>
        <v>293.35679999999996</v>
      </c>
      <c r="H88" s="124">
        <f t="shared" si="9"/>
        <v>407.44</v>
      </c>
      <c r="I88" s="124">
        <f t="shared" si="10"/>
        <v>448.18400000000003</v>
      </c>
      <c r="J88" s="125">
        <f t="shared" si="11"/>
        <v>611.16</v>
      </c>
    </row>
    <row r="89" spans="1:10" ht="14.95" customHeight="1">
      <c r="A89" s="10" t="s">
        <v>1282</v>
      </c>
      <c r="B89" s="92">
        <f t="shared" si="12"/>
        <v>189.4905</v>
      </c>
      <c r="C89" s="92">
        <f>('Цены на металл '!AA88*'Цены на металл '!$B$4*1.4)+'Цены на металл '!AB88</f>
        <v>210.54499999999999</v>
      </c>
      <c r="D89" s="92">
        <f t="shared" si="13"/>
        <v>231.59950000000001</v>
      </c>
      <c r="E89" s="92">
        <f t="shared" si="14"/>
        <v>252.65399999999997</v>
      </c>
      <c r="F89" s="92">
        <f t="shared" si="14"/>
        <v>277.9194</v>
      </c>
      <c r="G89" s="92">
        <f t="shared" si="14"/>
        <v>303.18479999999994</v>
      </c>
      <c r="H89" s="124">
        <f t="shared" si="9"/>
        <v>421.09</v>
      </c>
      <c r="I89" s="124">
        <f t="shared" si="10"/>
        <v>463.19900000000001</v>
      </c>
      <c r="J89" s="125">
        <f t="shared" si="11"/>
        <v>631.63499999999999</v>
      </c>
    </row>
    <row r="90" spans="1:10" ht="14.95" customHeight="1">
      <c r="A90" s="10" t="s">
        <v>1283</v>
      </c>
      <c r="B90" s="92">
        <f t="shared" si="12"/>
        <v>196.53389999999999</v>
      </c>
      <c r="C90" s="92">
        <f>('Цены на металл '!AA89*'Цены на металл '!$B$4*1.4)+'Цены на металл '!AB89</f>
        <v>218.37099999999998</v>
      </c>
      <c r="D90" s="92">
        <f t="shared" si="13"/>
        <v>240.2081</v>
      </c>
      <c r="E90" s="92">
        <f t="shared" si="14"/>
        <v>262.04519999999997</v>
      </c>
      <c r="F90" s="92">
        <f t="shared" si="14"/>
        <v>288.24971999999997</v>
      </c>
      <c r="G90" s="92">
        <f t="shared" si="14"/>
        <v>314.45423999999997</v>
      </c>
      <c r="H90" s="124">
        <f t="shared" si="9"/>
        <v>436.74199999999996</v>
      </c>
      <c r="I90" s="124">
        <f t="shared" si="10"/>
        <v>480.4162</v>
      </c>
      <c r="J90" s="125">
        <f t="shared" si="11"/>
        <v>655.11299999999994</v>
      </c>
    </row>
    <row r="91" spans="1:10" ht="14.95" customHeight="1">
      <c r="A91" s="10" t="s">
        <v>1284</v>
      </c>
      <c r="B91" s="92">
        <f t="shared" si="12"/>
        <v>211.8492</v>
      </c>
      <c r="C91" s="92">
        <f>('Цены на металл '!AA90*'Цены на металл '!$B$4*1.4)+'Цены на металл '!AB90</f>
        <v>235.38799999999998</v>
      </c>
      <c r="D91" s="92">
        <f t="shared" si="13"/>
        <v>258.92680000000001</v>
      </c>
      <c r="E91" s="92">
        <f t="shared" si="14"/>
        <v>282.46559999999994</v>
      </c>
      <c r="F91" s="92">
        <f t="shared" si="14"/>
        <v>310.71215999999998</v>
      </c>
      <c r="G91" s="92">
        <f t="shared" si="14"/>
        <v>338.95871999999991</v>
      </c>
      <c r="H91" s="124">
        <f t="shared" si="9"/>
        <v>470.77599999999995</v>
      </c>
      <c r="I91" s="124">
        <f t="shared" si="10"/>
        <v>517.85360000000003</v>
      </c>
      <c r="J91" s="125">
        <f t="shared" si="11"/>
        <v>706.16399999999999</v>
      </c>
    </row>
    <row r="92" spans="1:10" ht="14.95" customHeight="1">
      <c r="A92" s="10" t="s">
        <v>1285</v>
      </c>
      <c r="B92" s="92">
        <f t="shared" si="12"/>
        <v>213.48719999999997</v>
      </c>
      <c r="C92" s="92">
        <f>('Цены на металл '!AA91*'Цены на металл '!$B$4*1.4)+'Цены на металл '!AB91</f>
        <v>237.20799999999997</v>
      </c>
      <c r="D92" s="92">
        <f t="shared" si="13"/>
        <v>260.92879999999997</v>
      </c>
      <c r="E92" s="92">
        <f t="shared" si="14"/>
        <v>284.64959999999996</v>
      </c>
      <c r="F92" s="92">
        <f t="shared" si="14"/>
        <v>313.11455999999993</v>
      </c>
      <c r="G92" s="92">
        <f t="shared" si="14"/>
        <v>341.57951999999995</v>
      </c>
      <c r="H92" s="124">
        <f t="shared" si="9"/>
        <v>474.41599999999994</v>
      </c>
      <c r="I92" s="124">
        <f t="shared" si="10"/>
        <v>521.85759999999993</v>
      </c>
      <c r="J92" s="125">
        <f t="shared" si="11"/>
        <v>711.62399999999991</v>
      </c>
    </row>
    <row r="93" spans="1:10" ht="14.95" customHeight="1">
      <c r="A93" s="10" t="s">
        <v>1286</v>
      </c>
      <c r="B93" s="92">
        <f t="shared" si="12"/>
        <v>213.56909999999999</v>
      </c>
      <c r="C93" s="92">
        <f>('Цены на металл '!AA92*'Цены на металл '!$B$4*1.4)+'Цены на металл '!AB92</f>
        <v>237.29899999999998</v>
      </c>
      <c r="D93" s="92">
        <f t="shared" si="13"/>
        <v>261.02890000000002</v>
      </c>
      <c r="E93" s="92">
        <f t="shared" si="14"/>
        <v>284.75879999999995</v>
      </c>
      <c r="F93" s="92">
        <f t="shared" si="14"/>
        <v>313.23468000000003</v>
      </c>
      <c r="G93" s="92">
        <f t="shared" si="14"/>
        <v>341.71055999999993</v>
      </c>
      <c r="H93" s="124">
        <f t="shared" si="9"/>
        <v>474.59799999999996</v>
      </c>
      <c r="I93" s="124">
        <f t="shared" si="10"/>
        <v>522.05780000000004</v>
      </c>
      <c r="J93" s="125">
        <f t="shared" si="11"/>
        <v>711.89699999999993</v>
      </c>
    </row>
    <row r="94" spans="1:10" ht="14.95" customHeight="1">
      <c r="A94" s="10" t="s">
        <v>1287</v>
      </c>
      <c r="B94" s="92">
        <f t="shared" si="12"/>
        <v>217.82789999999997</v>
      </c>
      <c r="C94" s="92">
        <f>('Цены на металл '!AA93*'Цены на металл '!$B$4*1.4)+'Цены на металл '!AB93</f>
        <v>242.03099999999998</v>
      </c>
      <c r="D94" s="92">
        <f t="shared" si="13"/>
        <v>266.23410000000001</v>
      </c>
      <c r="E94" s="92">
        <f t="shared" si="14"/>
        <v>290.43719999999996</v>
      </c>
      <c r="F94" s="92">
        <f t="shared" si="14"/>
        <v>319.48092000000003</v>
      </c>
      <c r="G94" s="92">
        <f t="shared" si="14"/>
        <v>348.52463999999992</v>
      </c>
      <c r="H94" s="124">
        <f t="shared" si="9"/>
        <v>484.06199999999995</v>
      </c>
      <c r="I94" s="124">
        <f t="shared" si="10"/>
        <v>532.46820000000002</v>
      </c>
      <c r="J94" s="125">
        <f t="shared" si="11"/>
        <v>726.09299999999996</v>
      </c>
    </row>
    <row r="95" spans="1:10" ht="14.95" customHeight="1">
      <c r="A95" s="10" t="s">
        <v>1288</v>
      </c>
      <c r="B95" s="92">
        <f t="shared" si="12"/>
        <v>217.5822</v>
      </c>
      <c r="C95" s="92">
        <f>('Цены на металл '!AA94*'Цены на металл '!$B$4*1.4)+'Цены на металл '!AB94</f>
        <v>241.75799999999998</v>
      </c>
      <c r="D95" s="92">
        <f t="shared" si="13"/>
        <v>265.93380000000002</v>
      </c>
      <c r="E95" s="92">
        <f t="shared" si="14"/>
        <v>290.10959999999994</v>
      </c>
      <c r="F95" s="92">
        <f t="shared" si="14"/>
        <v>319.12056000000001</v>
      </c>
      <c r="G95" s="92">
        <f t="shared" si="14"/>
        <v>348.13151999999991</v>
      </c>
      <c r="H95" s="124">
        <f t="shared" si="9"/>
        <v>483.51599999999996</v>
      </c>
      <c r="I95" s="124">
        <f t="shared" si="10"/>
        <v>531.86760000000004</v>
      </c>
      <c r="J95" s="125">
        <f t="shared" si="11"/>
        <v>725.27399999999989</v>
      </c>
    </row>
    <row r="96" spans="1:10" ht="14.95" customHeight="1">
      <c r="A96" s="10" t="s">
        <v>1289</v>
      </c>
      <c r="B96" s="92">
        <f t="shared" si="12"/>
        <v>226.0179</v>
      </c>
      <c r="C96" s="92">
        <f>('Цены на металл '!AA95*'Цены на металл '!$B$4*1.4)+'Цены на металл '!AB95</f>
        <v>251.131</v>
      </c>
      <c r="D96" s="92">
        <f t="shared" si="13"/>
        <v>276.2441</v>
      </c>
      <c r="E96" s="92">
        <f t="shared" si="14"/>
        <v>301.35719999999998</v>
      </c>
      <c r="F96" s="92">
        <f t="shared" si="14"/>
        <v>331.49291999999997</v>
      </c>
      <c r="G96" s="92">
        <f t="shared" si="14"/>
        <v>361.62863999999996</v>
      </c>
      <c r="H96" s="124">
        <f t="shared" si="9"/>
        <v>502.262</v>
      </c>
      <c r="I96" s="124">
        <f t="shared" si="10"/>
        <v>552.48820000000001</v>
      </c>
      <c r="J96" s="125">
        <f t="shared" si="11"/>
        <v>753.39300000000003</v>
      </c>
    </row>
    <row r="97" spans="1:10" ht="14.95" customHeight="1">
      <c r="A97" s="10" t="s">
        <v>1290</v>
      </c>
      <c r="B97" s="92">
        <f t="shared" si="12"/>
        <v>234.3717</v>
      </c>
      <c r="C97" s="92">
        <f>('Цены на металл '!AA96*'Цены на металл '!$B$4*1.4)+'Цены на металл '!AB96</f>
        <v>260.41300000000001</v>
      </c>
      <c r="D97" s="92">
        <f t="shared" si="13"/>
        <v>286.45430000000005</v>
      </c>
      <c r="E97" s="92">
        <f t="shared" si="14"/>
        <v>312.49560000000002</v>
      </c>
      <c r="F97" s="92">
        <f t="shared" si="14"/>
        <v>343.74516000000006</v>
      </c>
      <c r="G97" s="92">
        <f t="shared" si="14"/>
        <v>374.99472000000003</v>
      </c>
      <c r="H97" s="124">
        <f t="shared" si="9"/>
        <v>520.82600000000002</v>
      </c>
      <c r="I97" s="124">
        <f t="shared" si="10"/>
        <v>572.90860000000009</v>
      </c>
      <c r="J97" s="125">
        <f t="shared" si="11"/>
        <v>781.23900000000003</v>
      </c>
    </row>
    <row r="98" spans="1:10" ht="14.95" customHeight="1">
      <c r="A98" s="10" t="s">
        <v>1291</v>
      </c>
      <c r="B98" s="92">
        <f t="shared" si="12"/>
        <v>255.50189999999998</v>
      </c>
      <c r="C98" s="92">
        <f>('Цены на металл '!AA97*'Цены на металл '!$B$4*1.4)+'Цены на металл '!AB97</f>
        <v>283.89099999999996</v>
      </c>
      <c r="D98" s="92">
        <f t="shared" si="13"/>
        <v>312.2801</v>
      </c>
      <c r="E98" s="92">
        <f t="shared" si="14"/>
        <v>340.66919999999993</v>
      </c>
      <c r="F98" s="92">
        <f t="shared" si="14"/>
        <v>374.73611999999997</v>
      </c>
      <c r="G98" s="92">
        <f t="shared" si="14"/>
        <v>408.8030399999999</v>
      </c>
      <c r="H98" s="124">
        <f t="shared" si="9"/>
        <v>567.78199999999993</v>
      </c>
      <c r="I98" s="124">
        <f t="shared" si="10"/>
        <v>624.56020000000001</v>
      </c>
      <c r="J98" s="125">
        <f t="shared" si="11"/>
        <v>851.67299999999989</v>
      </c>
    </row>
    <row r="99" spans="1:10" ht="14.95" customHeight="1">
      <c r="A99" s="10" t="s">
        <v>1292</v>
      </c>
      <c r="B99" s="92">
        <f t="shared" si="12"/>
        <v>206.28</v>
      </c>
      <c r="C99" s="92">
        <f>('Цены на металл '!AA98*'Цены на металл '!$B$4*1.4)+'Цены на металл '!AB98</f>
        <v>229.2</v>
      </c>
      <c r="D99" s="92">
        <f t="shared" si="13"/>
        <v>252.12</v>
      </c>
      <c r="E99" s="92">
        <f t="shared" si="14"/>
        <v>275.03999999999996</v>
      </c>
      <c r="F99" s="92">
        <f t="shared" si="14"/>
        <v>302.54399999999998</v>
      </c>
      <c r="G99" s="92">
        <f t="shared" si="14"/>
        <v>330.04799999999994</v>
      </c>
      <c r="H99" s="124">
        <f t="shared" si="9"/>
        <v>458.4</v>
      </c>
      <c r="I99" s="124">
        <f t="shared" si="10"/>
        <v>504.24</v>
      </c>
      <c r="J99" s="125">
        <f t="shared" si="11"/>
        <v>687.59999999999991</v>
      </c>
    </row>
    <row r="100" spans="1:10" ht="14.95" customHeight="1">
      <c r="A100" s="10" t="s">
        <v>1293</v>
      </c>
      <c r="B100" s="92">
        <f t="shared" si="12"/>
        <v>250.66980000000001</v>
      </c>
      <c r="C100" s="92">
        <f>('Цены на металл '!AA99*'Цены на металл '!$B$4*1.4)+'Цены на металл '!AB99</f>
        <v>278.52199999999999</v>
      </c>
      <c r="D100" s="92">
        <f t="shared" si="13"/>
        <v>306.37420000000003</v>
      </c>
      <c r="E100" s="92">
        <f t="shared" si="14"/>
        <v>334.22639999999996</v>
      </c>
      <c r="F100" s="92">
        <f t="shared" si="14"/>
        <v>367.64904000000001</v>
      </c>
      <c r="G100" s="92">
        <f t="shared" si="14"/>
        <v>401.07167999999996</v>
      </c>
      <c r="H100" s="124">
        <f t="shared" si="9"/>
        <v>557.04399999999998</v>
      </c>
      <c r="I100" s="124">
        <f t="shared" si="10"/>
        <v>612.74840000000006</v>
      </c>
      <c r="J100" s="125">
        <f t="shared" si="11"/>
        <v>835.56600000000003</v>
      </c>
    </row>
    <row r="101" spans="1:10" ht="14.95" customHeight="1">
      <c r="A101" s="10" t="s">
        <v>1294</v>
      </c>
      <c r="B101" s="92">
        <f t="shared" si="12"/>
        <v>255.41999999999996</v>
      </c>
      <c r="C101" s="92">
        <f>('Цены на металл '!AA100*'Цены на металл '!$B$4*1.4)+'Цены на металл '!AB100</f>
        <v>283.79999999999995</v>
      </c>
      <c r="D101" s="92">
        <f t="shared" si="13"/>
        <v>312.17999999999995</v>
      </c>
      <c r="E101" s="92">
        <f t="shared" si="14"/>
        <v>340.55999999999995</v>
      </c>
      <c r="F101" s="92">
        <f t="shared" si="14"/>
        <v>374.61599999999993</v>
      </c>
      <c r="G101" s="92">
        <f t="shared" si="14"/>
        <v>408.67199999999991</v>
      </c>
      <c r="H101" s="124">
        <f t="shared" si="9"/>
        <v>567.59999999999991</v>
      </c>
      <c r="I101" s="124">
        <f t="shared" si="10"/>
        <v>624.3599999999999</v>
      </c>
      <c r="J101" s="125">
        <f t="shared" si="11"/>
        <v>851.39999999999986</v>
      </c>
    </row>
    <row r="102" spans="1:10" ht="14.95" customHeight="1">
      <c r="A102" s="10" t="s">
        <v>1295</v>
      </c>
      <c r="B102" s="92">
        <f t="shared" si="12"/>
        <v>263.61</v>
      </c>
      <c r="C102" s="92">
        <f>('Цены на металл '!AA101*'Цены на металл '!$B$4*1.4)+'Цены на металл '!AB101</f>
        <v>292.89999999999998</v>
      </c>
      <c r="D102" s="92">
        <f t="shared" si="13"/>
        <v>322.19</v>
      </c>
      <c r="E102" s="92">
        <f t="shared" si="14"/>
        <v>351.47999999999996</v>
      </c>
      <c r="F102" s="92">
        <f t="shared" si="14"/>
        <v>386.62799999999999</v>
      </c>
      <c r="G102" s="92">
        <f t="shared" si="14"/>
        <v>421.77599999999995</v>
      </c>
      <c r="H102" s="124">
        <f t="shared" si="9"/>
        <v>585.79999999999995</v>
      </c>
      <c r="I102" s="124">
        <f t="shared" si="10"/>
        <v>644.38</v>
      </c>
      <c r="J102" s="125">
        <f t="shared" si="11"/>
        <v>878.69999999999993</v>
      </c>
    </row>
    <row r="103" spans="1:10" ht="14.95" customHeight="1">
      <c r="A103" s="10" t="s">
        <v>1296</v>
      </c>
      <c r="B103" s="92">
        <f t="shared" si="12"/>
        <v>271.8</v>
      </c>
      <c r="C103" s="92">
        <f>('Цены на металл '!AA102*'Цены на металл '!$B$4*1.4)+'Цены на металл '!AB102</f>
        <v>302</v>
      </c>
      <c r="D103" s="92">
        <f t="shared" si="13"/>
        <v>332.20000000000005</v>
      </c>
      <c r="E103" s="92">
        <f t="shared" si="14"/>
        <v>362.4</v>
      </c>
      <c r="F103" s="92">
        <f t="shared" si="14"/>
        <v>398.64000000000004</v>
      </c>
      <c r="G103" s="92">
        <f t="shared" si="14"/>
        <v>434.87999999999994</v>
      </c>
      <c r="H103" s="124">
        <f t="shared" si="9"/>
        <v>604</v>
      </c>
      <c r="I103" s="124">
        <f t="shared" si="10"/>
        <v>664.40000000000009</v>
      </c>
      <c r="J103" s="125">
        <f t="shared" si="11"/>
        <v>906</v>
      </c>
    </row>
    <row r="104" spans="1:10" ht="14.95" customHeight="1">
      <c r="A104" s="10" t="s">
        <v>1297</v>
      </c>
      <c r="B104" s="92">
        <f t="shared" si="12"/>
        <v>274.33890000000002</v>
      </c>
      <c r="C104" s="92">
        <f>('Цены на металл '!AA103*'Цены на металл '!$B$4*1.4)+'Цены на металл '!AB103</f>
        <v>304.82100000000003</v>
      </c>
      <c r="D104" s="92">
        <f t="shared" si="13"/>
        <v>335.30310000000003</v>
      </c>
      <c r="E104" s="92">
        <f t="shared" si="14"/>
        <v>365.78520000000003</v>
      </c>
      <c r="F104" s="92">
        <f t="shared" si="14"/>
        <v>402.36372</v>
      </c>
      <c r="G104" s="92">
        <f t="shared" si="14"/>
        <v>438.94224000000003</v>
      </c>
      <c r="H104" s="124">
        <f t="shared" si="9"/>
        <v>609.64200000000005</v>
      </c>
      <c r="I104" s="124">
        <f t="shared" si="10"/>
        <v>670.60620000000006</v>
      </c>
      <c r="J104" s="125">
        <f t="shared" si="11"/>
        <v>914.46300000000008</v>
      </c>
    </row>
    <row r="105" spans="1:10" ht="14.95" customHeight="1">
      <c r="A105" s="10" t="s">
        <v>1298</v>
      </c>
      <c r="B105" s="92">
        <f t="shared" si="12"/>
        <v>288.18</v>
      </c>
      <c r="C105" s="92">
        <f>('Цены на металл '!AA104*'Цены на металл '!$B$4*1.4)+'Цены на металл '!AB104</f>
        <v>320.2</v>
      </c>
      <c r="D105" s="92">
        <f t="shared" si="13"/>
        <v>352.22</v>
      </c>
      <c r="E105" s="92">
        <f t="shared" si="14"/>
        <v>384.23999999999995</v>
      </c>
      <c r="F105" s="92">
        <f t="shared" si="14"/>
        <v>422.66400000000004</v>
      </c>
      <c r="G105" s="92">
        <f t="shared" si="14"/>
        <v>461.08799999999991</v>
      </c>
      <c r="H105" s="124">
        <f t="shared" si="9"/>
        <v>640.4</v>
      </c>
      <c r="I105" s="124">
        <f t="shared" si="10"/>
        <v>704.44</v>
      </c>
      <c r="J105" s="125">
        <f t="shared" si="11"/>
        <v>960.59999999999991</v>
      </c>
    </row>
    <row r="106" spans="1:10" ht="14.95" customHeight="1">
      <c r="A106" s="10" t="s">
        <v>1299</v>
      </c>
      <c r="B106" s="92">
        <f t="shared" si="12"/>
        <v>304.56</v>
      </c>
      <c r="C106" s="92">
        <f>('Цены на металл '!AA105*'Цены на металл '!$B$4*1.4)+'Цены на металл '!AB105</f>
        <v>338.4</v>
      </c>
      <c r="D106" s="92">
        <f t="shared" si="13"/>
        <v>372.24</v>
      </c>
      <c r="E106" s="92">
        <f t="shared" si="14"/>
        <v>406.08</v>
      </c>
      <c r="F106" s="92">
        <f t="shared" si="14"/>
        <v>446.68799999999999</v>
      </c>
      <c r="G106" s="92">
        <f t="shared" si="14"/>
        <v>487.29599999999994</v>
      </c>
      <c r="H106" s="124">
        <f t="shared" si="9"/>
        <v>676.8</v>
      </c>
      <c r="I106" s="124">
        <f t="shared" si="10"/>
        <v>744.48</v>
      </c>
      <c r="J106" s="125">
        <f t="shared" si="11"/>
        <v>1015.1999999999999</v>
      </c>
    </row>
    <row r="107" spans="1:10" ht="14.95" customHeight="1">
      <c r="A107" s="9" t="s">
        <v>1421</v>
      </c>
      <c r="B107" s="130"/>
      <c r="C107" s="130"/>
      <c r="D107" s="130"/>
      <c r="E107" s="130"/>
      <c r="F107" s="130"/>
      <c r="G107" s="130"/>
      <c r="H107" s="179"/>
      <c r="I107" s="179"/>
      <c r="J107" s="179"/>
    </row>
    <row r="108" spans="1:10" ht="14.95" customHeight="1">
      <c r="A108" s="10" t="s">
        <v>1300</v>
      </c>
      <c r="B108" s="92">
        <f t="shared" si="12"/>
        <v>35.676899999999996</v>
      </c>
      <c r="C108" s="92">
        <f>('Цены на металл '!AA107*'Цены на металл '!$B$4*1.4)+'Цены на металл '!AB107</f>
        <v>39.640999999999998</v>
      </c>
      <c r="D108" s="92">
        <f t="shared" si="13"/>
        <v>43.6051</v>
      </c>
      <c r="E108" s="92">
        <f t="shared" si="14"/>
        <v>47.569199999999995</v>
      </c>
      <c r="F108" s="92">
        <f t="shared" si="14"/>
        <v>52.326119999999996</v>
      </c>
      <c r="G108" s="92">
        <f t="shared" si="14"/>
        <v>57.08303999999999</v>
      </c>
      <c r="H108" s="124">
        <f t="shared" ref="H108:H116" si="15">C108*2</f>
        <v>79.281999999999996</v>
      </c>
      <c r="I108" s="124">
        <f t="shared" ref="I108:I116" si="16">D108*2</f>
        <v>87.2102</v>
      </c>
      <c r="J108" s="125">
        <f t="shared" ref="J108:J116" si="17">C108*3</f>
        <v>118.923</v>
      </c>
    </row>
    <row r="109" spans="1:10" ht="14.95" customHeight="1">
      <c r="A109" s="10" t="s">
        <v>1301</v>
      </c>
      <c r="B109" s="92">
        <f t="shared" si="12"/>
        <v>36.168300000000002</v>
      </c>
      <c r="C109" s="92">
        <f>('Цены на металл '!AA108*'Цены на металл '!$B$4*1.4)+'Цены на металл '!AB108</f>
        <v>40.186999999999998</v>
      </c>
      <c r="D109" s="92">
        <f t="shared" si="13"/>
        <v>44.2057</v>
      </c>
      <c r="E109" s="92">
        <f t="shared" si="14"/>
        <v>48.224399999999996</v>
      </c>
      <c r="F109" s="92">
        <f t="shared" si="14"/>
        <v>53.046839999999996</v>
      </c>
      <c r="G109" s="92">
        <f t="shared" si="14"/>
        <v>57.869279999999989</v>
      </c>
      <c r="H109" s="124">
        <f t="shared" si="15"/>
        <v>80.373999999999995</v>
      </c>
      <c r="I109" s="124">
        <f t="shared" si="16"/>
        <v>88.4114</v>
      </c>
      <c r="J109" s="125">
        <f t="shared" si="17"/>
        <v>120.56099999999999</v>
      </c>
    </row>
    <row r="110" spans="1:10" ht="14.95" customHeight="1">
      <c r="A110" s="10" t="s">
        <v>1302</v>
      </c>
      <c r="B110" s="92">
        <f t="shared" si="12"/>
        <v>40.509</v>
      </c>
      <c r="C110" s="92">
        <f>('Цены на металл '!AA109*'Цены на металл '!$B$4*1.4)+'Цены на металл '!AB109</f>
        <v>45.01</v>
      </c>
      <c r="D110" s="92">
        <f t="shared" si="13"/>
        <v>49.511000000000003</v>
      </c>
      <c r="E110" s="92">
        <f t="shared" si="14"/>
        <v>54.011999999999993</v>
      </c>
      <c r="F110" s="92">
        <f t="shared" si="14"/>
        <v>59.413200000000003</v>
      </c>
      <c r="G110" s="92">
        <f t="shared" si="14"/>
        <v>64.814399999999992</v>
      </c>
      <c r="H110" s="124">
        <f t="shared" si="15"/>
        <v>90.02</v>
      </c>
      <c r="I110" s="124">
        <f t="shared" si="16"/>
        <v>99.022000000000006</v>
      </c>
      <c r="J110" s="125">
        <f t="shared" si="17"/>
        <v>135.03</v>
      </c>
    </row>
    <row r="111" spans="1:10" ht="14.95" customHeight="1">
      <c r="A111" s="10" t="s">
        <v>1303</v>
      </c>
      <c r="B111" s="92">
        <f t="shared" si="12"/>
        <v>46.487699999999997</v>
      </c>
      <c r="C111" s="92">
        <f>('Цены на металл '!AA110*'Цены на металл '!$B$4*1.4)+'Цены на металл '!AB110</f>
        <v>51.652999999999999</v>
      </c>
      <c r="D111" s="92">
        <f t="shared" si="13"/>
        <v>56.818300000000001</v>
      </c>
      <c r="E111" s="92">
        <f t="shared" si="14"/>
        <v>61.983599999999996</v>
      </c>
      <c r="F111" s="92">
        <f t="shared" si="14"/>
        <v>68.181960000000004</v>
      </c>
      <c r="G111" s="92">
        <f t="shared" si="14"/>
        <v>74.380319999999998</v>
      </c>
      <c r="H111" s="124">
        <f t="shared" si="15"/>
        <v>103.306</v>
      </c>
      <c r="I111" s="124">
        <f t="shared" si="16"/>
        <v>113.6366</v>
      </c>
      <c r="J111" s="125">
        <f t="shared" si="17"/>
        <v>154.959</v>
      </c>
    </row>
    <row r="112" spans="1:10" ht="14.95" customHeight="1">
      <c r="A112" s="10" t="s">
        <v>1304</v>
      </c>
      <c r="B112" s="92">
        <f t="shared" si="12"/>
        <v>46.897200000000005</v>
      </c>
      <c r="C112" s="92">
        <f>('Цены на металл '!AA111*'Цены на металл '!$B$4*1.4)+'Цены на металл '!AB111</f>
        <v>52.108000000000004</v>
      </c>
      <c r="D112" s="92">
        <f t="shared" si="13"/>
        <v>57.31880000000001</v>
      </c>
      <c r="E112" s="92">
        <f t="shared" si="14"/>
        <v>62.529600000000002</v>
      </c>
      <c r="F112" s="92">
        <f t="shared" si="14"/>
        <v>68.782560000000004</v>
      </c>
      <c r="G112" s="92">
        <f t="shared" si="14"/>
        <v>75.035520000000005</v>
      </c>
      <c r="H112" s="124">
        <f t="shared" si="15"/>
        <v>104.21600000000001</v>
      </c>
      <c r="I112" s="124">
        <f t="shared" si="16"/>
        <v>114.63760000000002</v>
      </c>
      <c r="J112" s="125">
        <f t="shared" si="17"/>
        <v>156.32400000000001</v>
      </c>
    </row>
    <row r="113" spans="1:10" ht="14.95" customHeight="1">
      <c r="A113" s="10" t="s">
        <v>1305</v>
      </c>
      <c r="B113" s="92">
        <f t="shared" si="12"/>
        <v>64.260000000000005</v>
      </c>
      <c r="C113" s="92">
        <f>('Цены на металл '!AA112*'Цены на металл '!$B$4*1.4)+'Цены на металл '!AB112</f>
        <v>71.400000000000006</v>
      </c>
      <c r="D113" s="92">
        <f t="shared" si="13"/>
        <v>78.540000000000006</v>
      </c>
      <c r="E113" s="92">
        <f t="shared" si="14"/>
        <v>85.68</v>
      </c>
      <c r="F113" s="92">
        <f t="shared" si="14"/>
        <v>94.248000000000005</v>
      </c>
      <c r="G113" s="92">
        <f t="shared" si="14"/>
        <v>102.816</v>
      </c>
      <c r="H113" s="124">
        <f t="shared" si="15"/>
        <v>142.80000000000001</v>
      </c>
      <c r="I113" s="124">
        <f t="shared" si="16"/>
        <v>157.08000000000001</v>
      </c>
      <c r="J113" s="125">
        <f t="shared" si="17"/>
        <v>214.20000000000002</v>
      </c>
    </row>
    <row r="114" spans="1:10" ht="14.95" customHeight="1">
      <c r="A114" s="10" t="s">
        <v>1306</v>
      </c>
      <c r="B114" s="92">
        <f t="shared" si="12"/>
        <v>77.200199999999995</v>
      </c>
      <c r="C114" s="92">
        <f>('Цены на металл '!AA113*'Цены на металл '!$B$4*1.4)+'Цены на металл '!AB113</f>
        <v>85.777999999999992</v>
      </c>
      <c r="D114" s="92">
        <f t="shared" si="13"/>
        <v>94.355800000000002</v>
      </c>
      <c r="E114" s="92">
        <f t="shared" si="14"/>
        <v>102.93359999999998</v>
      </c>
      <c r="F114" s="92">
        <f t="shared" si="14"/>
        <v>113.22696000000001</v>
      </c>
      <c r="G114" s="92">
        <f t="shared" si="14"/>
        <v>123.52031999999997</v>
      </c>
      <c r="H114" s="124">
        <f t="shared" si="15"/>
        <v>171.55599999999998</v>
      </c>
      <c r="I114" s="124">
        <f t="shared" si="16"/>
        <v>188.7116</v>
      </c>
      <c r="J114" s="125">
        <f t="shared" si="17"/>
        <v>257.33399999999995</v>
      </c>
    </row>
    <row r="115" spans="1:10" ht="14.95" customHeight="1">
      <c r="A115" s="10" t="s">
        <v>1307</v>
      </c>
      <c r="B115" s="92">
        <f t="shared" si="12"/>
        <v>105.3738</v>
      </c>
      <c r="C115" s="92">
        <f>('Цены на металл '!AA114*'Цены на металл '!$B$4*1.4)+'Цены на металл '!AB114</f>
        <v>117.08199999999999</v>
      </c>
      <c r="D115" s="92">
        <f t="shared" si="13"/>
        <v>128.7902</v>
      </c>
      <c r="E115" s="92">
        <f t="shared" si="14"/>
        <v>140.49839999999998</v>
      </c>
      <c r="F115" s="92">
        <f t="shared" si="14"/>
        <v>154.54823999999999</v>
      </c>
      <c r="G115" s="92">
        <f t="shared" si="14"/>
        <v>168.59807999999995</v>
      </c>
      <c r="H115" s="124">
        <f t="shared" si="15"/>
        <v>234.16399999999999</v>
      </c>
      <c r="I115" s="124">
        <f t="shared" si="16"/>
        <v>257.5804</v>
      </c>
      <c r="J115" s="125">
        <f t="shared" si="17"/>
        <v>351.24599999999998</v>
      </c>
    </row>
    <row r="116" spans="1:10" ht="14.95" customHeight="1">
      <c r="A116" s="10" t="s">
        <v>1308</v>
      </c>
      <c r="B116" s="92">
        <f t="shared" si="12"/>
        <v>134.3664</v>
      </c>
      <c r="C116" s="92">
        <f>('Цены на металл '!AA115*'Цены на металл '!$B$4*1.4)+'Цены на металл '!AB115</f>
        <v>149.29599999999999</v>
      </c>
      <c r="D116" s="92">
        <f t="shared" si="13"/>
        <v>164.22560000000001</v>
      </c>
      <c r="E116" s="92">
        <f t="shared" si="14"/>
        <v>179.15519999999998</v>
      </c>
      <c r="F116" s="92">
        <f t="shared" si="14"/>
        <v>197.07072000000002</v>
      </c>
      <c r="G116" s="92">
        <f t="shared" si="14"/>
        <v>214.98623999999998</v>
      </c>
      <c r="H116" s="124">
        <f t="shared" si="15"/>
        <v>298.59199999999998</v>
      </c>
      <c r="I116" s="124">
        <f t="shared" si="16"/>
        <v>328.45120000000003</v>
      </c>
      <c r="J116" s="125">
        <f t="shared" si="17"/>
        <v>447.88799999999998</v>
      </c>
    </row>
    <row r="117" spans="1:10" ht="14.95" customHeight="1">
      <c r="A117" s="9" t="s">
        <v>1420</v>
      </c>
      <c r="B117" s="130"/>
      <c r="C117" s="130"/>
      <c r="D117" s="130"/>
      <c r="E117" s="130"/>
      <c r="F117" s="130"/>
      <c r="G117" s="130"/>
      <c r="H117" s="179"/>
      <c r="I117" s="179"/>
      <c r="J117" s="179"/>
    </row>
    <row r="118" spans="1:10" ht="14.95" customHeight="1">
      <c r="A118" s="10" t="s">
        <v>1310</v>
      </c>
      <c r="B118" s="92">
        <f t="shared" si="12"/>
        <v>116.19</v>
      </c>
      <c r="C118" s="92">
        <f>('Цены на металл '!AA117*'Цены на металл '!$B$4*1.4)+'Цены на металл '!AB117</f>
        <v>129.1</v>
      </c>
      <c r="D118" s="92">
        <f t="shared" si="13"/>
        <v>142.01000000000002</v>
      </c>
      <c r="E118" s="92">
        <f t="shared" si="14"/>
        <v>154.91999999999999</v>
      </c>
      <c r="F118" s="92">
        <f t="shared" si="14"/>
        <v>170.41200000000001</v>
      </c>
      <c r="G118" s="92">
        <f t="shared" si="14"/>
        <v>185.90399999999997</v>
      </c>
      <c r="H118" s="124">
        <f t="shared" ref="H118:H181" si="18">C118*2</f>
        <v>258.2</v>
      </c>
      <c r="I118" s="124">
        <f t="shared" ref="I118:I181" si="19">D118*2</f>
        <v>284.02000000000004</v>
      </c>
      <c r="J118" s="125">
        <f t="shared" ref="J118:J181" si="20">C118*3</f>
        <v>387.29999999999995</v>
      </c>
    </row>
    <row r="119" spans="1:10" ht="14.95" customHeight="1">
      <c r="A119" s="10" t="s">
        <v>1311</v>
      </c>
      <c r="B119" s="92">
        <f t="shared" si="12"/>
        <v>119.22030000000001</v>
      </c>
      <c r="C119" s="92">
        <f>('Цены на металл '!AA118*'Цены на металл '!$B$4*1.4)+'Цены на металл '!AB118</f>
        <v>132.46700000000001</v>
      </c>
      <c r="D119" s="92">
        <f t="shared" si="13"/>
        <v>145.71370000000002</v>
      </c>
      <c r="E119" s="92">
        <f t="shared" si="14"/>
        <v>158.96040000000002</v>
      </c>
      <c r="F119" s="92">
        <f t="shared" si="14"/>
        <v>174.85644000000002</v>
      </c>
      <c r="G119" s="92">
        <f t="shared" si="14"/>
        <v>190.75248000000002</v>
      </c>
      <c r="H119" s="124">
        <f t="shared" si="18"/>
        <v>264.93400000000003</v>
      </c>
      <c r="I119" s="124">
        <f t="shared" si="19"/>
        <v>291.42740000000003</v>
      </c>
      <c r="J119" s="125">
        <f t="shared" si="20"/>
        <v>397.40100000000007</v>
      </c>
    </row>
    <row r="120" spans="1:10" ht="14.95" customHeight="1">
      <c r="A120" s="10" t="s">
        <v>1312</v>
      </c>
      <c r="B120" s="92">
        <f t="shared" si="12"/>
        <v>121.6773</v>
      </c>
      <c r="C120" s="92">
        <f>('Цены на металл '!AA119*'Цены на металл '!$B$4*1.4)+'Цены на металл '!AB119</f>
        <v>135.197</v>
      </c>
      <c r="D120" s="92">
        <f t="shared" si="13"/>
        <v>148.7167</v>
      </c>
      <c r="E120" s="92">
        <f t="shared" si="14"/>
        <v>162.2364</v>
      </c>
      <c r="F120" s="92">
        <f t="shared" si="14"/>
        <v>178.46003999999999</v>
      </c>
      <c r="G120" s="92">
        <f t="shared" si="14"/>
        <v>194.68368000000001</v>
      </c>
      <c r="H120" s="124">
        <f t="shared" si="18"/>
        <v>270.39400000000001</v>
      </c>
      <c r="I120" s="124">
        <f t="shared" si="19"/>
        <v>297.43340000000001</v>
      </c>
      <c r="J120" s="125">
        <f t="shared" si="20"/>
        <v>405.59100000000001</v>
      </c>
    </row>
    <row r="121" spans="1:10" ht="14.95" customHeight="1">
      <c r="A121" s="10" t="s">
        <v>1313</v>
      </c>
      <c r="B121" s="92">
        <f t="shared" si="12"/>
        <v>117.58229999999999</v>
      </c>
      <c r="C121" s="92">
        <f>('Цены на металл '!AA120*'Цены на металл '!$B$4*1.4)+'Цены на металл '!AB120</f>
        <v>130.64699999999999</v>
      </c>
      <c r="D121" s="92">
        <f t="shared" si="13"/>
        <v>143.71170000000001</v>
      </c>
      <c r="E121" s="92">
        <f t="shared" si="14"/>
        <v>156.7764</v>
      </c>
      <c r="F121" s="92">
        <f t="shared" si="14"/>
        <v>172.45403999999999</v>
      </c>
      <c r="G121" s="92">
        <f t="shared" si="14"/>
        <v>188.13167999999999</v>
      </c>
      <c r="H121" s="124">
        <f t="shared" si="18"/>
        <v>261.29399999999998</v>
      </c>
      <c r="I121" s="124">
        <f t="shared" si="19"/>
        <v>287.42340000000002</v>
      </c>
      <c r="J121" s="125">
        <f t="shared" si="20"/>
        <v>391.94099999999997</v>
      </c>
    </row>
    <row r="122" spans="1:10" ht="14.95" customHeight="1">
      <c r="A122" s="10" t="s">
        <v>1314</v>
      </c>
      <c r="B122" s="92">
        <f t="shared" si="12"/>
        <v>123.23339999999999</v>
      </c>
      <c r="C122" s="92">
        <f>('Цены на металл '!AA121*'Цены на металл '!$B$4*1.4)+'Цены на металл '!AB121</f>
        <v>136.92599999999999</v>
      </c>
      <c r="D122" s="92">
        <f t="shared" si="13"/>
        <v>150.61859999999999</v>
      </c>
      <c r="E122" s="92">
        <f t="shared" si="14"/>
        <v>164.31119999999999</v>
      </c>
      <c r="F122" s="92">
        <f t="shared" si="14"/>
        <v>180.74231999999998</v>
      </c>
      <c r="G122" s="92">
        <f t="shared" si="14"/>
        <v>197.17343999999997</v>
      </c>
      <c r="H122" s="124">
        <f t="shared" si="18"/>
        <v>273.85199999999998</v>
      </c>
      <c r="I122" s="124">
        <f t="shared" si="19"/>
        <v>301.23719999999997</v>
      </c>
      <c r="J122" s="125">
        <f t="shared" si="20"/>
        <v>410.77799999999996</v>
      </c>
    </row>
    <row r="123" spans="1:10" ht="14.95" customHeight="1">
      <c r="A123" s="10" t="s">
        <v>1315</v>
      </c>
      <c r="B123" s="92">
        <f t="shared" si="12"/>
        <v>127.2465</v>
      </c>
      <c r="C123" s="92">
        <f>('Цены на металл '!AA122*'Цены на металл '!$B$4*1.4)+'Цены на металл '!AB122</f>
        <v>141.38499999999999</v>
      </c>
      <c r="D123" s="92">
        <f t="shared" si="13"/>
        <v>155.52350000000001</v>
      </c>
      <c r="E123" s="92">
        <f t="shared" si="14"/>
        <v>169.66199999999998</v>
      </c>
      <c r="F123" s="92">
        <f t="shared" si="14"/>
        <v>186.62820000000002</v>
      </c>
      <c r="G123" s="92">
        <f t="shared" si="14"/>
        <v>203.59439999999998</v>
      </c>
      <c r="H123" s="124">
        <f t="shared" si="18"/>
        <v>282.77</v>
      </c>
      <c r="I123" s="124">
        <f t="shared" si="19"/>
        <v>311.04700000000003</v>
      </c>
      <c r="J123" s="125">
        <f t="shared" si="20"/>
        <v>424.15499999999997</v>
      </c>
    </row>
    <row r="124" spans="1:10" ht="14.95" customHeight="1">
      <c r="A124" s="10" t="s">
        <v>1316</v>
      </c>
      <c r="B124" s="92">
        <f t="shared" si="12"/>
        <v>128.31120000000001</v>
      </c>
      <c r="C124" s="92">
        <f>('Цены на металл '!AA123*'Цены на металл '!$B$4*1.4)+'Цены на металл '!AB123</f>
        <v>142.56800000000001</v>
      </c>
      <c r="D124" s="92">
        <f t="shared" si="13"/>
        <v>156.82480000000004</v>
      </c>
      <c r="E124" s="92">
        <f t="shared" si="14"/>
        <v>171.08160000000001</v>
      </c>
      <c r="F124" s="92">
        <f t="shared" si="14"/>
        <v>188.18976000000004</v>
      </c>
      <c r="G124" s="92">
        <f t="shared" si="14"/>
        <v>205.29792</v>
      </c>
      <c r="H124" s="124">
        <f t="shared" si="18"/>
        <v>285.13600000000002</v>
      </c>
      <c r="I124" s="124">
        <f t="shared" si="19"/>
        <v>313.64960000000008</v>
      </c>
      <c r="J124" s="125">
        <f t="shared" si="20"/>
        <v>427.70400000000006</v>
      </c>
    </row>
    <row r="125" spans="1:10" ht="14.95" customHeight="1">
      <c r="A125" s="10" t="s">
        <v>1317</v>
      </c>
      <c r="B125" s="92">
        <f t="shared" si="12"/>
        <v>133.2252</v>
      </c>
      <c r="C125" s="92">
        <f>('Цены на металл '!AA124*'Цены на металл '!$B$4*1.4)+'Цены на металл '!AB124</f>
        <v>148.02799999999999</v>
      </c>
      <c r="D125" s="92">
        <f t="shared" si="13"/>
        <v>162.83080000000001</v>
      </c>
      <c r="E125" s="92">
        <f t="shared" si="14"/>
        <v>177.63359999999997</v>
      </c>
      <c r="F125" s="92">
        <f t="shared" si="14"/>
        <v>195.39696000000001</v>
      </c>
      <c r="G125" s="92">
        <f t="shared" si="14"/>
        <v>213.16031999999996</v>
      </c>
      <c r="H125" s="124">
        <f t="shared" si="18"/>
        <v>296.05599999999998</v>
      </c>
      <c r="I125" s="124">
        <f t="shared" si="19"/>
        <v>325.66160000000002</v>
      </c>
      <c r="J125" s="125">
        <f t="shared" si="20"/>
        <v>444.08399999999995</v>
      </c>
    </row>
    <row r="126" spans="1:10" ht="14.95" customHeight="1">
      <c r="A126" s="10" t="s">
        <v>1318</v>
      </c>
      <c r="B126" s="92">
        <f t="shared" si="12"/>
        <v>140.9238</v>
      </c>
      <c r="C126" s="92">
        <f>('Цены на металл '!AA125*'Цены на металл '!$B$4*1.4)+'Цены на металл '!AB125</f>
        <v>156.58199999999999</v>
      </c>
      <c r="D126" s="92">
        <f t="shared" si="13"/>
        <v>172.24020000000002</v>
      </c>
      <c r="E126" s="92">
        <f t="shared" si="14"/>
        <v>187.89839999999998</v>
      </c>
      <c r="F126" s="92">
        <f t="shared" si="14"/>
        <v>206.68824000000001</v>
      </c>
      <c r="G126" s="92">
        <f t="shared" si="14"/>
        <v>225.47807999999998</v>
      </c>
      <c r="H126" s="124">
        <f t="shared" si="18"/>
        <v>313.16399999999999</v>
      </c>
      <c r="I126" s="124">
        <f t="shared" si="19"/>
        <v>344.48040000000003</v>
      </c>
      <c r="J126" s="125">
        <f t="shared" si="20"/>
        <v>469.74599999999998</v>
      </c>
    </row>
    <row r="127" spans="1:10" ht="14.95" customHeight="1">
      <c r="A127" s="10" t="s">
        <v>1319</v>
      </c>
      <c r="B127" s="92">
        <f t="shared" si="12"/>
        <v>127.8198</v>
      </c>
      <c r="C127" s="92">
        <f>('Цены на металл '!AA126*'Цены на металл '!$B$4*1.4)+'Цены на металл '!AB126</f>
        <v>142.02199999999999</v>
      </c>
      <c r="D127" s="92">
        <f t="shared" si="13"/>
        <v>156.2242</v>
      </c>
      <c r="E127" s="92">
        <f t="shared" si="14"/>
        <v>170.42639999999997</v>
      </c>
      <c r="F127" s="92">
        <f t="shared" si="14"/>
        <v>187.46903999999998</v>
      </c>
      <c r="G127" s="92">
        <f t="shared" si="14"/>
        <v>204.51167999999996</v>
      </c>
      <c r="H127" s="124">
        <f t="shared" si="18"/>
        <v>284.04399999999998</v>
      </c>
      <c r="I127" s="124">
        <f t="shared" si="19"/>
        <v>312.44839999999999</v>
      </c>
      <c r="J127" s="125">
        <f t="shared" si="20"/>
        <v>426.06599999999997</v>
      </c>
    </row>
    <row r="128" spans="1:10" ht="14.95" customHeight="1">
      <c r="A128" s="10" t="s">
        <v>1320</v>
      </c>
      <c r="B128" s="92">
        <f t="shared" si="12"/>
        <v>138.0573</v>
      </c>
      <c r="C128" s="92">
        <f>('Цены на металл '!AA127*'Цены на металл '!$B$4*1.4)+'Цены на металл '!AB127</f>
        <v>153.39699999999999</v>
      </c>
      <c r="D128" s="92">
        <f t="shared" si="13"/>
        <v>168.73670000000001</v>
      </c>
      <c r="E128" s="92">
        <f t="shared" si="14"/>
        <v>184.07639999999998</v>
      </c>
      <c r="F128" s="92">
        <f t="shared" si="14"/>
        <v>202.48404000000002</v>
      </c>
      <c r="G128" s="92">
        <f t="shared" si="14"/>
        <v>220.89167999999998</v>
      </c>
      <c r="H128" s="124">
        <f t="shared" si="18"/>
        <v>306.79399999999998</v>
      </c>
      <c r="I128" s="124">
        <f t="shared" si="19"/>
        <v>337.47340000000003</v>
      </c>
      <c r="J128" s="125">
        <f t="shared" si="20"/>
        <v>460.19099999999997</v>
      </c>
    </row>
    <row r="129" spans="1:10" ht="14.95" customHeight="1">
      <c r="A129" s="10" t="s">
        <v>1321</v>
      </c>
      <c r="B129" s="92">
        <f t="shared" si="12"/>
        <v>146.32919999999999</v>
      </c>
      <c r="C129" s="92">
        <f>('Цены на металл '!AA128*'Цены на металл '!$B$4*1.4)+'Цены на металл '!AB128</f>
        <v>162.58799999999999</v>
      </c>
      <c r="D129" s="92">
        <f t="shared" si="13"/>
        <v>178.8468</v>
      </c>
      <c r="E129" s="92">
        <f t="shared" si="14"/>
        <v>195.10559999999998</v>
      </c>
      <c r="F129" s="92">
        <f t="shared" si="14"/>
        <v>214.61616000000001</v>
      </c>
      <c r="G129" s="92">
        <f t="shared" si="14"/>
        <v>234.12671999999998</v>
      </c>
      <c r="H129" s="124">
        <f t="shared" si="18"/>
        <v>325.17599999999999</v>
      </c>
      <c r="I129" s="124">
        <f t="shared" si="19"/>
        <v>357.6936</v>
      </c>
      <c r="J129" s="125">
        <f t="shared" si="20"/>
        <v>487.76400000000001</v>
      </c>
    </row>
    <row r="130" spans="1:10" ht="14.95" customHeight="1">
      <c r="A130" s="10" t="s">
        <v>1322</v>
      </c>
      <c r="B130" s="92">
        <f t="shared" si="12"/>
        <v>170.57160000000002</v>
      </c>
      <c r="C130" s="92">
        <f>('Цены на металл '!AA129*'Цены на металл '!$B$4*1.4)+'Цены на металл '!AB129</f>
        <v>189.524</v>
      </c>
      <c r="D130" s="92">
        <f t="shared" si="13"/>
        <v>208.47640000000001</v>
      </c>
      <c r="E130" s="92">
        <f t="shared" si="14"/>
        <v>227.4288</v>
      </c>
      <c r="F130" s="92">
        <f t="shared" si="14"/>
        <v>250.17168000000001</v>
      </c>
      <c r="G130" s="92">
        <f t="shared" si="14"/>
        <v>272.91455999999999</v>
      </c>
      <c r="H130" s="124">
        <f t="shared" si="18"/>
        <v>379.048</v>
      </c>
      <c r="I130" s="124">
        <f t="shared" si="19"/>
        <v>416.95280000000002</v>
      </c>
      <c r="J130" s="125">
        <f t="shared" si="20"/>
        <v>568.572</v>
      </c>
    </row>
    <row r="131" spans="1:10" ht="14.95" customHeight="1">
      <c r="A131" s="10" t="s">
        <v>1323</v>
      </c>
      <c r="B131" s="92">
        <f t="shared" si="12"/>
        <v>131.751</v>
      </c>
      <c r="C131" s="92">
        <f>('Цены на металл '!AA130*'Цены на металл '!$B$4*1.4)+'Цены на металл '!AB130</f>
        <v>146.38999999999999</v>
      </c>
      <c r="D131" s="92">
        <f t="shared" si="13"/>
        <v>161.029</v>
      </c>
      <c r="E131" s="92">
        <f t="shared" si="14"/>
        <v>175.66799999999998</v>
      </c>
      <c r="F131" s="92">
        <f t="shared" si="14"/>
        <v>193.23479999999998</v>
      </c>
      <c r="G131" s="92">
        <f t="shared" si="14"/>
        <v>210.80159999999998</v>
      </c>
      <c r="H131" s="124">
        <f t="shared" si="18"/>
        <v>292.77999999999997</v>
      </c>
      <c r="I131" s="124">
        <f t="shared" si="19"/>
        <v>322.05799999999999</v>
      </c>
      <c r="J131" s="125">
        <f t="shared" si="20"/>
        <v>439.16999999999996</v>
      </c>
    </row>
    <row r="132" spans="1:10" ht="14.95" customHeight="1">
      <c r="A132" s="10" t="s">
        <v>1324</v>
      </c>
      <c r="B132" s="92">
        <f t="shared" si="12"/>
        <v>135.1908</v>
      </c>
      <c r="C132" s="92">
        <f>('Цены на металл '!AA131*'Цены на металл '!$B$4*1.4)+'Цены на металл '!AB131</f>
        <v>150.21199999999999</v>
      </c>
      <c r="D132" s="92">
        <f t="shared" si="13"/>
        <v>165.23320000000001</v>
      </c>
      <c r="E132" s="92">
        <f t="shared" si="14"/>
        <v>180.25439999999998</v>
      </c>
      <c r="F132" s="92">
        <f t="shared" si="14"/>
        <v>198.27984000000001</v>
      </c>
      <c r="G132" s="92">
        <f t="shared" si="14"/>
        <v>216.30527999999995</v>
      </c>
      <c r="H132" s="124">
        <f t="shared" si="18"/>
        <v>300.42399999999998</v>
      </c>
      <c r="I132" s="124">
        <f t="shared" si="19"/>
        <v>330.46640000000002</v>
      </c>
      <c r="J132" s="125">
        <f t="shared" si="20"/>
        <v>450.63599999999997</v>
      </c>
    </row>
    <row r="133" spans="1:10" ht="14.95" customHeight="1">
      <c r="A133" s="10" t="s">
        <v>1325</v>
      </c>
      <c r="B133" s="92">
        <f t="shared" ref="B133:B196" si="21">C133*0.9</f>
        <v>136.99260000000001</v>
      </c>
      <c r="C133" s="92">
        <f>('Цены на металл '!AA132*'Цены на металл '!$B$4*1.4)+'Цены на металл '!AB132</f>
        <v>152.214</v>
      </c>
      <c r="D133" s="92">
        <f t="shared" ref="D133:D196" si="22">C133*1.1</f>
        <v>167.43540000000002</v>
      </c>
      <c r="E133" s="92">
        <f t="shared" ref="E133:G196" si="23">C133*1.2</f>
        <v>182.6568</v>
      </c>
      <c r="F133" s="92">
        <f t="shared" si="23"/>
        <v>200.92248000000001</v>
      </c>
      <c r="G133" s="92">
        <f t="shared" si="23"/>
        <v>219.18816000000001</v>
      </c>
      <c r="H133" s="124">
        <f t="shared" si="18"/>
        <v>304.428</v>
      </c>
      <c r="I133" s="124">
        <f t="shared" si="19"/>
        <v>334.87080000000003</v>
      </c>
      <c r="J133" s="125">
        <f t="shared" si="20"/>
        <v>456.642</v>
      </c>
    </row>
    <row r="134" spans="1:10" ht="14.95" customHeight="1">
      <c r="A134" s="10" t="s">
        <v>1326</v>
      </c>
      <c r="B134" s="92">
        <f t="shared" si="21"/>
        <v>142.88939999999999</v>
      </c>
      <c r="C134" s="92">
        <f>('Цены на металл '!AA133*'Цены на металл '!$B$4*1.4)+'Цены на металл '!AB133</f>
        <v>158.76599999999999</v>
      </c>
      <c r="D134" s="92">
        <f t="shared" si="22"/>
        <v>174.64260000000002</v>
      </c>
      <c r="E134" s="92">
        <f t="shared" si="23"/>
        <v>190.51919999999998</v>
      </c>
      <c r="F134" s="92">
        <f t="shared" si="23"/>
        <v>209.57112000000001</v>
      </c>
      <c r="G134" s="92">
        <f t="shared" si="23"/>
        <v>228.62303999999997</v>
      </c>
      <c r="H134" s="124">
        <f t="shared" si="18"/>
        <v>317.53199999999998</v>
      </c>
      <c r="I134" s="124">
        <f t="shared" si="19"/>
        <v>349.28520000000003</v>
      </c>
      <c r="J134" s="125">
        <f t="shared" si="20"/>
        <v>476.298</v>
      </c>
    </row>
    <row r="135" spans="1:10" ht="14.95" customHeight="1">
      <c r="A135" s="10" t="s">
        <v>1327</v>
      </c>
      <c r="B135" s="92">
        <f t="shared" si="21"/>
        <v>151.81650000000002</v>
      </c>
      <c r="C135" s="92">
        <f>('Цены на металл '!AA134*'Цены на металл '!$B$4*1.4)+'Цены на металл '!AB134</f>
        <v>168.685</v>
      </c>
      <c r="D135" s="92">
        <f t="shared" si="22"/>
        <v>185.55350000000001</v>
      </c>
      <c r="E135" s="92">
        <f t="shared" si="23"/>
        <v>202.422</v>
      </c>
      <c r="F135" s="92">
        <f t="shared" si="23"/>
        <v>222.66420000000002</v>
      </c>
      <c r="G135" s="92">
        <f t="shared" si="23"/>
        <v>242.90639999999999</v>
      </c>
      <c r="H135" s="124">
        <f t="shared" si="18"/>
        <v>337.37</v>
      </c>
      <c r="I135" s="124">
        <f t="shared" si="19"/>
        <v>371.10700000000003</v>
      </c>
      <c r="J135" s="125">
        <f t="shared" si="20"/>
        <v>506.05500000000001</v>
      </c>
    </row>
    <row r="136" spans="1:10" ht="14.95" customHeight="1">
      <c r="A136" s="10" t="s">
        <v>1328</v>
      </c>
      <c r="B136" s="92">
        <f t="shared" si="21"/>
        <v>177.53309999999999</v>
      </c>
      <c r="C136" s="92">
        <f>('Цены на металл '!AA135*'Цены на металл '!$B$4*1.4)+'Цены на металл '!AB135</f>
        <v>197.25899999999999</v>
      </c>
      <c r="D136" s="92">
        <f t="shared" si="22"/>
        <v>216.98490000000001</v>
      </c>
      <c r="E136" s="92">
        <f t="shared" si="23"/>
        <v>236.71079999999998</v>
      </c>
      <c r="F136" s="92">
        <f t="shared" si="23"/>
        <v>260.38188000000002</v>
      </c>
      <c r="G136" s="92">
        <f t="shared" si="23"/>
        <v>284.05295999999998</v>
      </c>
      <c r="H136" s="124">
        <f t="shared" si="18"/>
        <v>394.51799999999997</v>
      </c>
      <c r="I136" s="124">
        <f t="shared" si="19"/>
        <v>433.96980000000002</v>
      </c>
      <c r="J136" s="125">
        <f t="shared" si="20"/>
        <v>591.77699999999993</v>
      </c>
    </row>
    <row r="137" spans="1:10" ht="14.95" customHeight="1">
      <c r="A137" s="10" t="s">
        <v>1329</v>
      </c>
      <c r="B137" s="92">
        <f t="shared" si="21"/>
        <v>208.6551</v>
      </c>
      <c r="C137" s="92">
        <f>('Цены на металл '!AA136*'Цены на металл '!$B$4*1.4)+'Цены на металл '!AB136</f>
        <v>231.839</v>
      </c>
      <c r="D137" s="92">
        <f t="shared" si="22"/>
        <v>255.02290000000002</v>
      </c>
      <c r="E137" s="92">
        <f t="shared" si="23"/>
        <v>278.20679999999999</v>
      </c>
      <c r="F137" s="92">
        <f t="shared" si="23"/>
        <v>306.02748000000003</v>
      </c>
      <c r="G137" s="92">
        <f t="shared" si="23"/>
        <v>333.84815999999995</v>
      </c>
      <c r="H137" s="124">
        <f t="shared" si="18"/>
        <v>463.678</v>
      </c>
      <c r="I137" s="124">
        <f t="shared" si="19"/>
        <v>510.04580000000004</v>
      </c>
      <c r="J137" s="125">
        <f t="shared" si="20"/>
        <v>695.51700000000005</v>
      </c>
    </row>
    <row r="138" spans="1:10" ht="14.95" customHeight="1">
      <c r="A138" s="10" t="s">
        <v>1330</v>
      </c>
      <c r="B138" s="92">
        <f t="shared" si="21"/>
        <v>145.67400000000001</v>
      </c>
      <c r="C138" s="92">
        <f>('Цены на металл '!AA137*'Цены на металл '!$B$4*1.4)+'Цены на металл '!AB137</f>
        <v>161.86000000000001</v>
      </c>
      <c r="D138" s="92">
        <f t="shared" si="22"/>
        <v>178.04600000000002</v>
      </c>
      <c r="E138" s="92">
        <f t="shared" si="23"/>
        <v>194.232</v>
      </c>
      <c r="F138" s="92">
        <f t="shared" si="23"/>
        <v>213.65520000000001</v>
      </c>
      <c r="G138" s="92">
        <f t="shared" si="23"/>
        <v>233.07839999999999</v>
      </c>
      <c r="H138" s="124">
        <f t="shared" si="18"/>
        <v>323.72000000000003</v>
      </c>
      <c r="I138" s="124">
        <f t="shared" si="19"/>
        <v>356.09200000000004</v>
      </c>
      <c r="J138" s="125">
        <f t="shared" si="20"/>
        <v>485.58000000000004</v>
      </c>
    </row>
    <row r="139" spans="1:10" ht="14.95" customHeight="1">
      <c r="A139" s="10" t="s">
        <v>1331</v>
      </c>
      <c r="B139" s="92">
        <f t="shared" si="21"/>
        <v>147.6396</v>
      </c>
      <c r="C139" s="92">
        <f>('Цены на металл '!AA138*'Цены на металл '!$B$4*1.4)+'Цены на металл '!AB138</f>
        <v>164.04399999999998</v>
      </c>
      <c r="D139" s="92">
        <f t="shared" si="22"/>
        <v>180.44839999999999</v>
      </c>
      <c r="E139" s="92">
        <f t="shared" si="23"/>
        <v>196.85279999999997</v>
      </c>
      <c r="F139" s="92">
        <f t="shared" si="23"/>
        <v>216.53807999999998</v>
      </c>
      <c r="G139" s="92">
        <f t="shared" si="23"/>
        <v>236.22335999999996</v>
      </c>
      <c r="H139" s="124">
        <f t="shared" si="18"/>
        <v>328.08799999999997</v>
      </c>
      <c r="I139" s="124">
        <f t="shared" si="19"/>
        <v>360.89679999999998</v>
      </c>
      <c r="J139" s="125">
        <f t="shared" si="20"/>
        <v>492.13199999999995</v>
      </c>
    </row>
    <row r="140" spans="1:10" ht="14.95" customHeight="1">
      <c r="A140" s="10" t="s">
        <v>1332</v>
      </c>
      <c r="B140" s="92">
        <f t="shared" si="21"/>
        <v>157.22190000000001</v>
      </c>
      <c r="C140" s="92">
        <f>('Цены на металл '!AA139*'Цены на металл '!$B$4*1.4)+'Цены на металл '!AB139</f>
        <v>174.691</v>
      </c>
      <c r="D140" s="92">
        <f t="shared" si="22"/>
        <v>192.16010000000003</v>
      </c>
      <c r="E140" s="92">
        <f t="shared" si="23"/>
        <v>209.6292</v>
      </c>
      <c r="F140" s="92">
        <f t="shared" si="23"/>
        <v>230.59212000000002</v>
      </c>
      <c r="G140" s="92">
        <f t="shared" si="23"/>
        <v>251.55503999999999</v>
      </c>
      <c r="H140" s="124">
        <f t="shared" si="18"/>
        <v>349.38200000000001</v>
      </c>
      <c r="I140" s="124">
        <f t="shared" si="19"/>
        <v>384.32020000000006</v>
      </c>
      <c r="J140" s="125">
        <f t="shared" si="20"/>
        <v>524.07299999999998</v>
      </c>
    </row>
    <row r="141" spans="1:10" ht="14.95" customHeight="1">
      <c r="A141" s="10" t="s">
        <v>1333</v>
      </c>
      <c r="B141" s="92">
        <f t="shared" si="21"/>
        <v>173.52</v>
      </c>
      <c r="C141" s="92">
        <f>('Цены на металл '!AA140*'Цены на металл '!$B$4*1.4)+'Цены на металл '!AB140</f>
        <v>192.8</v>
      </c>
      <c r="D141" s="92">
        <f t="shared" si="22"/>
        <v>212.08000000000004</v>
      </c>
      <c r="E141" s="92">
        <f t="shared" si="23"/>
        <v>231.36</v>
      </c>
      <c r="F141" s="92">
        <f t="shared" si="23"/>
        <v>254.49600000000004</v>
      </c>
      <c r="G141" s="92">
        <f t="shared" si="23"/>
        <v>277.63200000000001</v>
      </c>
      <c r="H141" s="124">
        <f t="shared" si="18"/>
        <v>385.6</v>
      </c>
      <c r="I141" s="124">
        <f t="shared" si="19"/>
        <v>424.16000000000008</v>
      </c>
      <c r="J141" s="125">
        <f t="shared" si="20"/>
        <v>578.40000000000009</v>
      </c>
    </row>
    <row r="142" spans="1:10" ht="14.95" customHeight="1">
      <c r="A142" s="10" t="s">
        <v>1334</v>
      </c>
      <c r="B142" s="92">
        <f t="shared" si="21"/>
        <v>189.9</v>
      </c>
      <c r="C142" s="92">
        <f>('Цены на металл '!AA141*'Цены на металл '!$B$4*1.4)+'Цены на металл '!AB141</f>
        <v>211</v>
      </c>
      <c r="D142" s="92">
        <f t="shared" si="22"/>
        <v>232.10000000000002</v>
      </c>
      <c r="E142" s="92">
        <f t="shared" si="23"/>
        <v>253.2</v>
      </c>
      <c r="F142" s="92">
        <f t="shared" si="23"/>
        <v>278.52000000000004</v>
      </c>
      <c r="G142" s="92">
        <f t="shared" si="23"/>
        <v>303.83999999999997</v>
      </c>
      <c r="H142" s="124">
        <f t="shared" si="18"/>
        <v>422</v>
      </c>
      <c r="I142" s="124">
        <f t="shared" si="19"/>
        <v>464.20000000000005</v>
      </c>
      <c r="J142" s="125">
        <f t="shared" si="20"/>
        <v>633</v>
      </c>
    </row>
    <row r="143" spans="1:10" ht="14.95" customHeight="1">
      <c r="A143" s="10" t="s">
        <v>1335</v>
      </c>
      <c r="B143" s="92">
        <f t="shared" si="21"/>
        <v>139.53149999999999</v>
      </c>
      <c r="C143" s="92">
        <f>('Цены на металл '!AA142*'Цены на металл '!$B$4*1.4)+'Цены на металл '!AB142</f>
        <v>155.035</v>
      </c>
      <c r="D143" s="92">
        <f t="shared" si="22"/>
        <v>170.5385</v>
      </c>
      <c r="E143" s="92">
        <f t="shared" si="23"/>
        <v>186.042</v>
      </c>
      <c r="F143" s="92">
        <f t="shared" si="23"/>
        <v>204.64619999999999</v>
      </c>
      <c r="G143" s="92">
        <f t="shared" si="23"/>
        <v>223.25039999999998</v>
      </c>
      <c r="H143" s="124">
        <f t="shared" si="18"/>
        <v>310.07</v>
      </c>
      <c r="I143" s="124">
        <f t="shared" si="19"/>
        <v>341.077</v>
      </c>
      <c r="J143" s="125">
        <f t="shared" si="20"/>
        <v>465.10500000000002</v>
      </c>
    </row>
    <row r="144" spans="1:10" ht="14.95" customHeight="1">
      <c r="A144" s="10" t="s">
        <v>1336</v>
      </c>
      <c r="B144" s="92">
        <f t="shared" si="21"/>
        <v>145.2645</v>
      </c>
      <c r="C144" s="92">
        <f>('Цены на металл '!AA143*'Цены на металл '!$B$4*1.4)+'Цены на металл '!AB143</f>
        <v>161.405</v>
      </c>
      <c r="D144" s="92">
        <f t="shared" si="22"/>
        <v>177.5455</v>
      </c>
      <c r="E144" s="92">
        <f t="shared" si="23"/>
        <v>193.68600000000001</v>
      </c>
      <c r="F144" s="92">
        <f t="shared" si="23"/>
        <v>213.05459999999999</v>
      </c>
      <c r="G144" s="92">
        <f t="shared" si="23"/>
        <v>232.42320000000001</v>
      </c>
      <c r="H144" s="124">
        <f t="shared" si="18"/>
        <v>322.81</v>
      </c>
      <c r="I144" s="124">
        <f t="shared" si="19"/>
        <v>355.09100000000001</v>
      </c>
      <c r="J144" s="125">
        <f t="shared" si="20"/>
        <v>484.21500000000003</v>
      </c>
    </row>
    <row r="145" spans="1:10" ht="14.95" customHeight="1">
      <c r="A145" s="10" t="s">
        <v>1337</v>
      </c>
      <c r="B145" s="92">
        <f t="shared" si="21"/>
        <v>145.7559</v>
      </c>
      <c r="C145" s="92">
        <f>('Цены на металл '!AA144*'Цены на металл '!$B$4*1.4)+'Цены на металл '!AB144</f>
        <v>161.95099999999999</v>
      </c>
      <c r="D145" s="92">
        <f t="shared" si="22"/>
        <v>178.14610000000002</v>
      </c>
      <c r="E145" s="92">
        <f t="shared" si="23"/>
        <v>194.34119999999999</v>
      </c>
      <c r="F145" s="92">
        <f t="shared" si="23"/>
        <v>213.77532000000002</v>
      </c>
      <c r="G145" s="92">
        <f t="shared" si="23"/>
        <v>233.20943999999997</v>
      </c>
      <c r="H145" s="124">
        <f t="shared" si="18"/>
        <v>323.90199999999999</v>
      </c>
      <c r="I145" s="124">
        <f t="shared" si="19"/>
        <v>356.29220000000004</v>
      </c>
      <c r="J145" s="125">
        <f t="shared" si="20"/>
        <v>485.85299999999995</v>
      </c>
    </row>
    <row r="146" spans="1:10" ht="14.95" customHeight="1">
      <c r="A146" s="10" t="s">
        <v>1338</v>
      </c>
      <c r="B146" s="92">
        <f t="shared" si="21"/>
        <v>152.47170000000003</v>
      </c>
      <c r="C146" s="92">
        <f>('Цены на металл '!AA145*'Цены на металл '!$B$4*1.4)+'Цены на металл '!AB145</f>
        <v>169.41300000000001</v>
      </c>
      <c r="D146" s="92">
        <f t="shared" si="22"/>
        <v>186.35430000000002</v>
      </c>
      <c r="E146" s="92">
        <f t="shared" si="23"/>
        <v>203.29560000000001</v>
      </c>
      <c r="F146" s="92">
        <f t="shared" si="23"/>
        <v>223.62516000000002</v>
      </c>
      <c r="G146" s="92">
        <f t="shared" si="23"/>
        <v>243.95472000000001</v>
      </c>
      <c r="H146" s="124">
        <f t="shared" si="18"/>
        <v>338.82600000000002</v>
      </c>
      <c r="I146" s="124">
        <f t="shared" si="19"/>
        <v>372.70860000000005</v>
      </c>
      <c r="J146" s="125">
        <f t="shared" si="20"/>
        <v>508.23900000000003</v>
      </c>
    </row>
    <row r="147" spans="1:10" ht="14.95" customHeight="1">
      <c r="A147" s="10" t="s">
        <v>1339</v>
      </c>
      <c r="B147" s="92">
        <f t="shared" si="21"/>
        <v>162.62730000000002</v>
      </c>
      <c r="C147" s="92">
        <f>('Цены на металл '!AA146*'Цены на металл '!$B$4*1.4)+'Цены на металл '!AB146</f>
        <v>180.697</v>
      </c>
      <c r="D147" s="92">
        <f t="shared" si="22"/>
        <v>198.76670000000001</v>
      </c>
      <c r="E147" s="92">
        <f t="shared" si="23"/>
        <v>216.8364</v>
      </c>
      <c r="F147" s="92">
        <f t="shared" si="23"/>
        <v>238.52003999999999</v>
      </c>
      <c r="G147" s="92">
        <f t="shared" si="23"/>
        <v>260.20367999999996</v>
      </c>
      <c r="H147" s="124">
        <f t="shared" si="18"/>
        <v>361.39400000000001</v>
      </c>
      <c r="I147" s="124">
        <f t="shared" si="19"/>
        <v>397.53340000000003</v>
      </c>
      <c r="J147" s="125">
        <f t="shared" si="20"/>
        <v>542.09100000000001</v>
      </c>
    </row>
    <row r="148" spans="1:10" ht="14.95" customHeight="1">
      <c r="A148" s="10" t="s">
        <v>1340</v>
      </c>
      <c r="B148" s="92">
        <f t="shared" si="21"/>
        <v>191.37419999999997</v>
      </c>
      <c r="C148" s="92">
        <f>('Цены на металл '!AA147*'Цены на металл '!$B$4*1.4)+'Цены на металл '!AB147</f>
        <v>212.63799999999998</v>
      </c>
      <c r="D148" s="92">
        <f t="shared" si="22"/>
        <v>233.90179999999998</v>
      </c>
      <c r="E148" s="92">
        <f t="shared" si="23"/>
        <v>255.16559999999996</v>
      </c>
      <c r="F148" s="92">
        <f t="shared" si="23"/>
        <v>280.68215999999995</v>
      </c>
      <c r="G148" s="92">
        <f t="shared" si="23"/>
        <v>306.19871999999992</v>
      </c>
      <c r="H148" s="124">
        <f t="shared" si="18"/>
        <v>425.27599999999995</v>
      </c>
      <c r="I148" s="124">
        <f t="shared" si="19"/>
        <v>467.80359999999996</v>
      </c>
      <c r="J148" s="125">
        <f t="shared" si="20"/>
        <v>637.91399999999999</v>
      </c>
    </row>
    <row r="149" spans="1:10" ht="14.95" customHeight="1">
      <c r="A149" s="10" t="s">
        <v>1341</v>
      </c>
      <c r="B149" s="92">
        <f t="shared" si="21"/>
        <v>206.28</v>
      </c>
      <c r="C149" s="92">
        <f>('Цены на металл '!AA148*'Цены на металл '!$B$4*1.4)+'Цены на металл '!AB148</f>
        <v>229.2</v>
      </c>
      <c r="D149" s="92">
        <f t="shared" si="22"/>
        <v>252.12</v>
      </c>
      <c r="E149" s="92">
        <f t="shared" si="23"/>
        <v>275.03999999999996</v>
      </c>
      <c r="F149" s="92">
        <f t="shared" si="23"/>
        <v>302.54399999999998</v>
      </c>
      <c r="G149" s="92">
        <f t="shared" si="23"/>
        <v>330.04799999999994</v>
      </c>
      <c r="H149" s="124">
        <f t="shared" si="18"/>
        <v>458.4</v>
      </c>
      <c r="I149" s="124">
        <f t="shared" si="19"/>
        <v>504.24</v>
      </c>
      <c r="J149" s="125">
        <f t="shared" si="20"/>
        <v>687.59999999999991</v>
      </c>
    </row>
    <row r="150" spans="1:10" ht="14.95" customHeight="1">
      <c r="A150" s="10" t="s">
        <v>1342</v>
      </c>
      <c r="B150" s="92">
        <f t="shared" si="21"/>
        <v>147.39390000000003</v>
      </c>
      <c r="C150" s="92">
        <f>('Цены на металл '!AA149*'Цены на металл '!$B$4*1.4)+'Цены на металл '!AB149</f>
        <v>163.77100000000002</v>
      </c>
      <c r="D150" s="92">
        <f t="shared" si="22"/>
        <v>180.14810000000003</v>
      </c>
      <c r="E150" s="92">
        <f t="shared" si="23"/>
        <v>196.52520000000001</v>
      </c>
      <c r="F150" s="92">
        <f t="shared" si="23"/>
        <v>216.17772000000002</v>
      </c>
      <c r="G150" s="92">
        <f t="shared" si="23"/>
        <v>235.83024</v>
      </c>
      <c r="H150" s="124">
        <f t="shared" si="18"/>
        <v>327.54200000000003</v>
      </c>
      <c r="I150" s="124">
        <f t="shared" si="19"/>
        <v>360.29620000000006</v>
      </c>
      <c r="J150" s="125">
        <f t="shared" si="20"/>
        <v>491.31300000000005</v>
      </c>
    </row>
    <row r="151" spans="1:10" ht="14.95" customHeight="1">
      <c r="A151" s="10" t="s">
        <v>1343</v>
      </c>
      <c r="B151" s="92">
        <f t="shared" si="21"/>
        <v>152.06219999999999</v>
      </c>
      <c r="C151" s="92">
        <f>('Цены на металл '!AA150*'Цены на металл '!$B$4*1.4)+'Цены на металл '!AB150</f>
        <v>168.958</v>
      </c>
      <c r="D151" s="92">
        <f t="shared" si="22"/>
        <v>185.85380000000001</v>
      </c>
      <c r="E151" s="92">
        <f t="shared" si="23"/>
        <v>202.74959999999999</v>
      </c>
      <c r="F151" s="92">
        <f t="shared" si="23"/>
        <v>223.02456000000001</v>
      </c>
      <c r="G151" s="92">
        <f t="shared" si="23"/>
        <v>243.29951999999997</v>
      </c>
      <c r="H151" s="124">
        <f t="shared" si="18"/>
        <v>337.916</v>
      </c>
      <c r="I151" s="124">
        <f t="shared" si="19"/>
        <v>371.70760000000001</v>
      </c>
      <c r="J151" s="125">
        <f t="shared" si="20"/>
        <v>506.87400000000002</v>
      </c>
    </row>
    <row r="152" spans="1:10" ht="14.95" customHeight="1">
      <c r="A152" s="10" t="s">
        <v>1344</v>
      </c>
      <c r="B152" s="92">
        <f t="shared" si="21"/>
        <v>154.43729999999999</v>
      </c>
      <c r="C152" s="92">
        <f>('Цены на металл '!AA151*'Цены на металл '!$B$4*1.4)+'Цены на металл '!AB151</f>
        <v>171.59699999999998</v>
      </c>
      <c r="D152" s="92">
        <f t="shared" si="22"/>
        <v>188.7567</v>
      </c>
      <c r="E152" s="92">
        <f t="shared" si="23"/>
        <v>205.91639999999998</v>
      </c>
      <c r="F152" s="92">
        <f t="shared" si="23"/>
        <v>226.50803999999999</v>
      </c>
      <c r="G152" s="92">
        <f t="shared" si="23"/>
        <v>247.09967999999998</v>
      </c>
      <c r="H152" s="124">
        <f t="shared" si="18"/>
        <v>343.19399999999996</v>
      </c>
      <c r="I152" s="124">
        <f t="shared" si="19"/>
        <v>377.51339999999999</v>
      </c>
      <c r="J152" s="125">
        <f t="shared" si="20"/>
        <v>514.79099999999994</v>
      </c>
    </row>
    <row r="153" spans="1:10" ht="14.95" customHeight="1">
      <c r="A153" s="10" t="s">
        <v>1345</v>
      </c>
      <c r="B153" s="92">
        <f t="shared" si="21"/>
        <v>162.054</v>
      </c>
      <c r="C153" s="92">
        <f>('Цены на металл '!AA152*'Цены на металл '!$B$4*1.4)+'Цены на металл '!AB152</f>
        <v>180.06</v>
      </c>
      <c r="D153" s="92">
        <f t="shared" si="22"/>
        <v>198.06600000000003</v>
      </c>
      <c r="E153" s="92">
        <f t="shared" si="23"/>
        <v>216.072</v>
      </c>
      <c r="F153" s="92">
        <f t="shared" si="23"/>
        <v>237.67920000000004</v>
      </c>
      <c r="G153" s="92">
        <f t="shared" si="23"/>
        <v>259.28640000000001</v>
      </c>
      <c r="H153" s="124">
        <f t="shared" si="18"/>
        <v>360.12</v>
      </c>
      <c r="I153" s="124">
        <f t="shared" si="19"/>
        <v>396.13200000000006</v>
      </c>
      <c r="J153" s="125">
        <f t="shared" si="20"/>
        <v>540.18000000000006</v>
      </c>
    </row>
    <row r="154" spans="1:10" ht="14.95" customHeight="1">
      <c r="A154" s="10" t="s">
        <v>1346</v>
      </c>
      <c r="B154" s="92">
        <f t="shared" si="21"/>
        <v>173.52</v>
      </c>
      <c r="C154" s="92">
        <f>('Цены на металл '!AA153*'Цены на металл '!$B$4*1.4)+'Цены на металл '!AB153</f>
        <v>192.8</v>
      </c>
      <c r="D154" s="92">
        <f t="shared" si="22"/>
        <v>212.08000000000004</v>
      </c>
      <c r="E154" s="92">
        <f t="shared" si="23"/>
        <v>231.36</v>
      </c>
      <c r="F154" s="92">
        <f t="shared" si="23"/>
        <v>254.49600000000004</v>
      </c>
      <c r="G154" s="92">
        <f t="shared" si="23"/>
        <v>277.63200000000001</v>
      </c>
      <c r="H154" s="124">
        <f t="shared" si="18"/>
        <v>385.6</v>
      </c>
      <c r="I154" s="124">
        <f t="shared" si="19"/>
        <v>424.16000000000008</v>
      </c>
      <c r="J154" s="125">
        <f t="shared" si="20"/>
        <v>578.40000000000009</v>
      </c>
    </row>
    <row r="155" spans="1:10" ht="14.95" customHeight="1">
      <c r="A155" s="10" t="s">
        <v>1347</v>
      </c>
      <c r="B155" s="92">
        <f t="shared" si="21"/>
        <v>189.9</v>
      </c>
      <c r="C155" s="92">
        <f>('Цены на металл '!AA154*'Цены на металл '!$B$4*1.4)+'Цены на металл '!AB154</f>
        <v>211</v>
      </c>
      <c r="D155" s="92">
        <f t="shared" si="22"/>
        <v>232.10000000000002</v>
      </c>
      <c r="E155" s="92">
        <f t="shared" si="23"/>
        <v>253.2</v>
      </c>
      <c r="F155" s="92">
        <f t="shared" si="23"/>
        <v>278.52000000000004</v>
      </c>
      <c r="G155" s="92">
        <f t="shared" si="23"/>
        <v>303.83999999999997</v>
      </c>
      <c r="H155" s="124">
        <f t="shared" si="18"/>
        <v>422</v>
      </c>
      <c r="I155" s="124">
        <f t="shared" si="19"/>
        <v>464.20000000000005</v>
      </c>
      <c r="J155" s="125">
        <f t="shared" si="20"/>
        <v>633</v>
      </c>
    </row>
    <row r="156" spans="1:10" ht="14.95" customHeight="1">
      <c r="A156" s="10" t="s">
        <v>1348</v>
      </c>
      <c r="B156" s="92">
        <f t="shared" si="21"/>
        <v>206.28</v>
      </c>
      <c r="C156" s="92">
        <f>('Цены на металл '!AA155*'Цены на металл '!$B$4*1.4)+'Цены на металл '!AB155</f>
        <v>229.2</v>
      </c>
      <c r="D156" s="92">
        <f t="shared" si="22"/>
        <v>252.12</v>
      </c>
      <c r="E156" s="92">
        <f t="shared" si="23"/>
        <v>275.03999999999996</v>
      </c>
      <c r="F156" s="92">
        <f t="shared" si="23"/>
        <v>302.54399999999998</v>
      </c>
      <c r="G156" s="92">
        <f t="shared" si="23"/>
        <v>330.04799999999994</v>
      </c>
      <c r="H156" s="124">
        <f t="shared" si="18"/>
        <v>458.4</v>
      </c>
      <c r="I156" s="124">
        <f t="shared" si="19"/>
        <v>504.24</v>
      </c>
      <c r="J156" s="125">
        <f t="shared" si="20"/>
        <v>687.59999999999991</v>
      </c>
    </row>
    <row r="157" spans="1:10" ht="14.95" customHeight="1">
      <c r="A157" s="10" t="s">
        <v>1349</v>
      </c>
      <c r="B157" s="92">
        <f t="shared" si="21"/>
        <v>155.25630000000001</v>
      </c>
      <c r="C157" s="92">
        <f>('Цены на металл '!AA156*'Цены на металл '!$B$4*1.4)+'Цены на металл '!AB156</f>
        <v>172.50700000000001</v>
      </c>
      <c r="D157" s="92">
        <f t="shared" si="22"/>
        <v>189.75770000000003</v>
      </c>
      <c r="E157" s="92">
        <f t="shared" si="23"/>
        <v>207.00839999999999</v>
      </c>
      <c r="F157" s="92">
        <f t="shared" si="23"/>
        <v>227.70924000000002</v>
      </c>
      <c r="G157" s="92">
        <f t="shared" si="23"/>
        <v>248.41007999999999</v>
      </c>
      <c r="H157" s="124">
        <f t="shared" si="18"/>
        <v>345.01400000000001</v>
      </c>
      <c r="I157" s="124">
        <f t="shared" si="19"/>
        <v>379.51540000000006</v>
      </c>
      <c r="J157" s="125">
        <f t="shared" si="20"/>
        <v>517.52099999999996</v>
      </c>
    </row>
    <row r="158" spans="1:10" ht="14.95" customHeight="1">
      <c r="A158" s="10" t="s">
        <v>1350</v>
      </c>
      <c r="B158" s="92">
        <f t="shared" si="21"/>
        <v>160.49789999999999</v>
      </c>
      <c r="C158" s="92">
        <f>('Цены на металл '!AA157*'Цены на металл '!$B$4*1.4)+'Цены на металл '!AB157</f>
        <v>178.33099999999999</v>
      </c>
      <c r="D158" s="92">
        <f t="shared" si="22"/>
        <v>196.16409999999999</v>
      </c>
      <c r="E158" s="92">
        <f t="shared" si="23"/>
        <v>213.99719999999999</v>
      </c>
      <c r="F158" s="92">
        <f t="shared" si="23"/>
        <v>235.39691999999997</v>
      </c>
      <c r="G158" s="92">
        <f t="shared" si="23"/>
        <v>256.79663999999997</v>
      </c>
      <c r="H158" s="124">
        <f t="shared" si="18"/>
        <v>356.66199999999998</v>
      </c>
      <c r="I158" s="124">
        <f t="shared" si="19"/>
        <v>392.32819999999998</v>
      </c>
      <c r="J158" s="125">
        <f t="shared" si="20"/>
        <v>534.99299999999994</v>
      </c>
    </row>
    <row r="159" spans="1:10" ht="14.95" customHeight="1">
      <c r="A159" s="10" t="s">
        <v>1351</v>
      </c>
      <c r="B159" s="92">
        <f t="shared" si="21"/>
        <v>165.32999999999998</v>
      </c>
      <c r="C159" s="92">
        <f>('Цены на металл '!AA158*'Цены на металл '!$B$4*1.4)+'Цены на металл '!AB158</f>
        <v>183.7</v>
      </c>
      <c r="D159" s="92">
        <f t="shared" si="22"/>
        <v>202.07</v>
      </c>
      <c r="E159" s="92">
        <f t="shared" si="23"/>
        <v>220.43999999999997</v>
      </c>
      <c r="F159" s="92">
        <f t="shared" si="23"/>
        <v>242.48399999999998</v>
      </c>
      <c r="G159" s="92">
        <f t="shared" si="23"/>
        <v>264.52799999999996</v>
      </c>
      <c r="H159" s="124">
        <f t="shared" si="18"/>
        <v>367.4</v>
      </c>
      <c r="I159" s="124">
        <f t="shared" si="19"/>
        <v>404.14</v>
      </c>
      <c r="J159" s="125">
        <f t="shared" si="20"/>
        <v>551.09999999999991</v>
      </c>
    </row>
    <row r="160" spans="1:10" ht="14.95" customHeight="1">
      <c r="A160" s="10" t="s">
        <v>1352</v>
      </c>
      <c r="B160" s="92">
        <f t="shared" si="21"/>
        <v>171.63630000000001</v>
      </c>
      <c r="C160" s="92">
        <f>('Цены на металл '!AA159*'Цены на металл '!$B$4*1.4)+'Цены на металл '!AB159</f>
        <v>190.70699999999999</v>
      </c>
      <c r="D160" s="92">
        <f t="shared" si="22"/>
        <v>209.77770000000001</v>
      </c>
      <c r="E160" s="92">
        <f t="shared" si="23"/>
        <v>228.8484</v>
      </c>
      <c r="F160" s="92">
        <f t="shared" si="23"/>
        <v>251.73324</v>
      </c>
      <c r="G160" s="92">
        <f t="shared" si="23"/>
        <v>274.61807999999996</v>
      </c>
      <c r="H160" s="124">
        <f t="shared" si="18"/>
        <v>381.41399999999999</v>
      </c>
      <c r="I160" s="124">
        <f t="shared" si="19"/>
        <v>419.55540000000002</v>
      </c>
      <c r="J160" s="125">
        <f t="shared" si="20"/>
        <v>572.12099999999998</v>
      </c>
    </row>
    <row r="161" spans="1:10" ht="14.95" customHeight="1">
      <c r="A161" s="10" t="s">
        <v>1353</v>
      </c>
      <c r="B161" s="92">
        <f t="shared" si="21"/>
        <v>184.41270000000003</v>
      </c>
      <c r="C161" s="92">
        <f>('Цены на металл '!AA160*'Цены на металл '!$B$4*1.4)+'Цены на металл '!AB160</f>
        <v>204.90300000000002</v>
      </c>
      <c r="D161" s="92">
        <f t="shared" si="22"/>
        <v>225.39330000000004</v>
      </c>
      <c r="E161" s="92">
        <f t="shared" si="23"/>
        <v>245.8836</v>
      </c>
      <c r="F161" s="92">
        <f t="shared" si="23"/>
        <v>270.47196000000002</v>
      </c>
      <c r="G161" s="92">
        <f t="shared" si="23"/>
        <v>295.06031999999999</v>
      </c>
      <c r="H161" s="124">
        <f t="shared" si="18"/>
        <v>409.80600000000004</v>
      </c>
      <c r="I161" s="124">
        <f t="shared" si="19"/>
        <v>450.78660000000008</v>
      </c>
      <c r="J161" s="125">
        <f t="shared" si="20"/>
        <v>614.70900000000006</v>
      </c>
    </row>
    <row r="162" spans="1:10" ht="14.95" customHeight="1">
      <c r="A162" s="10" t="s">
        <v>1354</v>
      </c>
      <c r="B162" s="92">
        <f t="shared" si="21"/>
        <v>198.09</v>
      </c>
      <c r="C162" s="92">
        <f>('Цены на металл '!AA161*'Цены на металл '!$B$4*1.4)+'Цены на металл '!AB161</f>
        <v>220.1</v>
      </c>
      <c r="D162" s="92">
        <f t="shared" si="22"/>
        <v>242.11</v>
      </c>
      <c r="E162" s="92">
        <f t="shared" si="23"/>
        <v>264.12</v>
      </c>
      <c r="F162" s="92">
        <f t="shared" si="23"/>
        <v>290.53199999999998</v>
      </c>
      <c r="G162" s="92">
        <f t="shared" si="23"/>
        <v>316.94400000000002</v>
      </c>
      <c r="H162" s="124">
        <f t="shared" si="18"/>
        <v>440.2</v>
      </c>
      <c r="I162" s="124">
        <f t="shared" si="19"/>
        <v>484.22</v>
      </c>
      <c r="J162" s="125">
        <f t="shared" si="20"/>
        <v>660.3</v>
      </c>
    </row>
    <row r="163" spans="1:10" ht="14.95" customHeight="1">
      <c r="A163" s="10" t="s">
        <v>1355</v>
      </c>
      <c r="B163" s="92">
        <f t="shared" si="21"/>
        <v>214.47000000000003</v>
      </c>
      <c r="C163" s="92">
        <f>('Цены на металл '!AA162*'Цены на металл '!$B$4*1.4)+'Цены на металл '!AB162</f>
        <v>238.3</v>
      </c>
      <c r="D163" s="92">
        <f t="shared" si="22"/>
        <v>262.13000000000005</v>
      </c>
      <c r="E163" s="92">
        <f t="shared" si="23"/>
        <v>285.95999999999998</v>
      </c>
      <c r="F163" s="92">
        <f t="shared" si="23"/>
        <v>314.55600000000004</v>
      </c>
      <c r="G163" s="92">
        <f t="shared" si="23"/>
        <v>343.15199999999999</v>
      </c>
      <c r="H163" s="124">
        <f t="shared" si="18"/>
        <v>476.6</v>
      </c>
      <c r="I163" s="124">
        <f t="shared" si="19"/>
        <v>524.2600000000001</v>
      </c>
      <c r="J163" s="125">
        <f t="shared" si="20"/>
        <v>714.90000000000009</v>
      </c>
    </row>
    <row r="164" spans="1:10" ht="14.95" customHeight="1">
      <c r="A164" s="9" t="s">
        <v>1424</v>
      </c>
      <c r="B164" s="92">
        <f t="shared" si="21"/>
        <v>0</v>
      </c>
      <c r="C164" s="92">
        <f>('Цены на металл '!AA163*'Цены на металл '!$B$4*1.4)+'Цены на металл '!AB163</f>
        <v>0</v>
      </c>
      <c r="D164" s="92">
        <f t="shared" si="22"/>
        <v>0</v>
      </c>
      <c r="E164" s="92">
        <f t="shared" si="23"/>
        <v>0</v>
      </c>
      <c r="F164" s="92">
        <f t="shared" si="23"/>
        <v>0</v>
      </c>
      <c r="G164" s="92">
        <f t="shared" si="23"/>
        <v>0</v>
      </c>
      <c r="H164" s="124">
        <f t="shared" si="18"/>
        <v>0</v>
      </c>
      <c r="I164" s="124">
        <f t="shared" si="19"/>
        <v>0</v>
      </c>
      <c r="J164" s="125">
        <f t="shared" si="20"/>
        <v>0</v>
      </c>
    </row>
    <row r="165" spans="1:10" ht="14.95" customHeight="1">
      <c r="A165" s="10" t="s">
        <v>1356</v>
      </c>
      <c r="B165" s="92">
        <f t="shared" si="21"/>
        <v>36.9054</v>
      </c>
      <c r="C165" s="92">
        <f>('Цены на металл '!AA164*'Цены на металл '!$B$4*1.4)+'Цены на металл '!AB164</f>
        <v>41.006</v>
      </c>
      <c r="D165" s="92">
        <f t="shared" si="22"/>
        <v>45.106600000000007</v>
      </c>
      <c r="E165" s="92">
        <f t="shared" si="23"/>
        <v>49.2072</v>
      </c>
      <c r="F165" s="92">
        <f t="shared" si="23"/>
        <v>54.12792000000001</v>
      </c>
      <c r="G165" s="92">
        <f t="shared" si="23"/>
        <v>59.048639999999999</v>
      </c>
      <c r="H165" s="124">
        <f t="shared" si="18"/>
        <v>82.012</v>
      </c>
      <c r="I165" s="124">
        <f t="shared" si="19"/>
        <v>90.213200000000015</v>
      </c>
      <c r="J165" s="125">
        <f t="shared" si="20"/>
        <v>123.018</v>
      </c>
    </row>
    <row r="166" spans="1:10" ht="14.95" customHeight="1">
      <c r="A166" s="10" t="s">
        <v>1357</v>
      </c>
      <c r="B166" s="92">
        <f t="shared" si="21"/>
        <v>36.987300000000005</v>
      </c>
      <c r="C166" s="92">
        <f>('Цены на металл '!AA165*'Цены на металл '!$B$4*1.4)+'Цены на металл '!AB165</f>
        <v>41.097000000000001</v>
      </c>
      <c r="D166" s="92">
        <f t="shared" si="22"/>
        <v>45.206700000000005</v>
      </c>
      <c r="E166" s="92">
        <f t="shared" si="23"/>
        <v>49.316400000000002</v>
      </c>
      <c r="F166" s="92">
        <f t="shared" si="23"/>
        <v>54.248040000000003</v>
      </c>
      <c r="G166" s="92">
        <f t="shared" si="23"/>
        <v>59.179679999999998</v>
      </c>
      <c r="H166" s="124">
        <f t="shared" si="18"/>
        <v>82.194000000000003</v>
      </c>
      <c r="I166" s="124">
        <f t="shared" si="19"/>
        <v>90.41340000000001</v>
      </c>
      <c r="J166" s="125">
        <f t="shared" si="20"/>
        <v>123.291</v>
      </c>
    </row>
    <row r="167" spans="1:10" ht="14.95" customHeight="1">
      <c r="A167" s="10" t="s">
        <v>1358</v>
      </c>
      <c r="B167" s="92">
        <f t="shared" si="21"/>
        <v>44.931600000000003</v>
      </c>
      <c r="C167" s="92">
        <f>('Цены на металл '!AA166*'Цены на металл '!$B$4*1.4)+'Цены на металл '!AB166</f>
        <v>49.923999999999999</v>
      </c>
      <c r="D167" s="92">
        <f t="shared" si="22"/>
        <v>54.916400000000003</v>
      </c>
      <c r="E167" s="92">
        <f t="shared" si="23"/>
        <v>59.908799999999999</v>
      </c>
      <c r="F167" s="92">
        <f t="shared" si="23"/>
        <v>65.899680000000004</v>
      </c>
      <c r="G167" s="92">
        <f t="shared" si="23"/>
        <v>71.890559999999994</v>
      </c>
      <c r="H167" s="124">
        <f t="shared" si="18"/>
        <v>99.847999999999999</v>
      </c>
      <c r="I167" s="124">
        <f t="shared" si="19"/>
        <v>109.83280000000001</v>
      </c>
      <c r="J167" s="125">
        <f t="shared" si="20"/>
        <v>149.77199999999999</v>
      </c>
    </row>
    <row r="168" spans="1:10" ht="14.95" customHeight="1">
      <c r="A168" s="10" t="s">
        <v>1359</v>
      </c>
      <c r="B168" s="92">
        <f t="shared" si="21"/>
        <v>50.009400000000007</v>
      </c>
      <c r="C168" s="92">
        <f>('Цены на металл '!AA167*'Цены на металл '!$B$4*1.4)+'Цены на металл '!AB167</f>
        <v>55.566000000000003</v>
      </c>
      <c r="D168" s="92">
        <f t="shared" si="22"/>
        <v>61.122600000000006</v>
      </c>
      <c r="E168" s="92">
        <f t="shared" si="23"/>
        <v>66.679199999999994</v>
      </c>
      <c r="F168" s="92">
        <f t="shared" si="23"/>
        <v>73.347120000000004</v>
      </c>
      <c r="G168" s="92">
        <f t="shared" si="23"/>
        <v>80.015039999999985</v>
      </c>
      <c r="H168" s="124">
        <f t="shared" si="18"/>
        <v>111.13200000000001</v>
      </c>
      <c r="I168" s="124">
        <f t="shared" si="19"/>
        <v>122.24520000000001</v>
      </c>
      <c r="J168" s="125">
        <f t="shared" si="20"/>
        <v>166.69800000000001</v>
      </c>
    </row>
    <row r="169" spans="1:10" ht="14.95" customHeight="1">
      <c r="A169" s="10" t="s">
        <v>1360</v>
      </c>
      <c r="B169" s="92">
        <f t="shared" si="21"/>
        <v>55.1691</v>
      </c>
      <c r="C169" s="92">
        <f>('Цены на металл '!AA168*'Цены на металл '!$B$4*1.4)+'Цены на металл '!AB168</f>
        <v>61.298999999999999</v>
      </c>
      <c r="D169" s="92">
        <f t="shared" si="22"/>
        <v>67.428899999999999</v>
      </c>
      <c r="E169" s="92">
        <f t="shared" si="23"/>
        <v>73.558799999999991</v>
      </c>
      <c r="F169" s="92">
        <f t="shared" si="23"/>
        <v>80.91467999999999</v>
      </c>
      <c r="G169" s="92">
        <f t="shared" si="23"/>
        <v>88.270559999999989</v>
      </c>
      <c r="H169" s="124">
        <f t="shared" si="18"/>
        <v>122.598</v>
      </c>
      <c r="I169" s="124">
        <f t="shared" si="19"/>
        <v>134.8578</v>
      </c>
      <c r="J169" s="125">
        <f t="shared" si="20"/>
        <v>183.89699999999999</v>
      </c>
    </row>
    <row r="170" spans="1:10" ht="14.95" customHeight="1">
      <c r="A170" s="10" t="s">
        <v>1361</v>
      </c>
      <c r="B170" s="92">
        <f t="shared" si="21"/>
        <v>60.328800000000001</v>
      </c>
      <c r="C170" s="92">
        <f>('Цены на металл '!AA169*'Цены на металл '!$B$4*1.4)+'Цены на металл '!AB169</f>
        <v>67.031999999999996</v>
      </c>
      <c r="D170" s="92">
        <f t="shared" si="22"/>
        <v>73.735200000000006</v>
      </c>
      <c r="E170" s="92">
        <f t="shared" si="23"/>
        <v>80.438399999999987</v>
      </c>
      <c r="F170" s="92">
        <f t="shared" si="23"/>
        <v>88.482240000000004</v>
      </c>
      <c r="G170" s="92">
        <f t="shared" si="23"/>
        <v>96.526079999999979</v>
      </c>
      <c r="H170" s="124">
        <f t="shared" si="18"/>
        <v>134.06399999999999</v>
      </c>
      <c r="I170" s="124">
        <f t="shared" si="19"/>
        <v>147.47040000000001</v>
      </c>
      <c r="J170" s="125">
        <f t="shared" si="20"/>
        <v>201.096</v>
      </c>
    </row>
    <row r="171" spans="1:10" ht="14.95" customHeight="1">
      <c r="A171" s="10" t="s">
        <v>1362</v>
      </c>
      <c r="B171" s="92">
        <f t="shared" si="21"/>
        <v>65.570399999999992</v>
      </c>
      <c r="C171" s="92">
        <f>('Цены на металл '!AA170*'Цены на металл '!$B$4*1.4)+'Цены на металл '!AB170</f>
        <v>72.855999999999995</v>
      </c>
      <c r="D171" s="92">
        <f t="shared" si="22"/>
        <v>80.141599999999997</v>
      </c>
      <c r="E171" s="92">
        <f t="shared" si="23"/>
        <v>87.427199999999985</v>
      </c>
      <c r="F171" s="92">
        <f t="shared" si="23"/>
        <v>96.169919999999991</v>
      </c>
      <c r="G171" s="92">
        <f t="shared" si="23"/>
        <v>104.91263999999998</v>
      </c>
      <c r="H171" s="124">
        <f t="shared" si="18"/>
        <v>145.71199999999999</v>
      </c>
      <c r="I171" s="124">
        <f t="shared" si="19"/>
        <v>160.28319999999999</v>
      </c>
      <c r="J171" s="125">
        <f t="shared" si="20"/>
        <v>218.56799999999998</v>
      </c>
    </row>
    <row r="172" spans="1:10" ht="14.95" customHeight="1">
      <c r="A172" s="10" t="s">
        <v>1363</v>
      </c>
      <c r="B172" s="92">
        <f t="shared" si="21"/>
        <v>75.889800000000008</v>
      </c>
      <c r="C172" s="92">
        <f>('Цены на металл '!AA171*'Цены на металл '!$B$4*1.4)+'Цены на металл '!AB171</f>
        <v>84.322000000000003</v>
      </c>
      <c r="D172" s="92">
        <f t="shared" si="22"/>
        <v>92.754200000000012</v>
      </c>
      <c r="E172" s="92">
        <f t="shared" si="23"/>
        <v>101.18640000000001</v>
      </c>
      <c r="F172" s="92">
        <f t="shared" si="23"/>
        <v>111.30504000000001</v>
      </c>
      <c r="G172" s="92">
        <f t="shared" si="23"/>
        <v>121.42368</v>
      </c>
      <c r="H172" s="124">
        <f t="shared" si="18"/>
        <v>168.64400000000001</v>
      </c>
      <c r="I172" s="124">
        <f t="shared" si="19"/>
        <v>185.50840000000002</v>
      </c>
      <c r="J172" s="125">
        <f t="shared" si="20"/>
        <v>252.96600000000001</v>
      </c>
    </row>
    <row r="173" spans="1:10" ht="14.95" customHeight="1">
      <c r="A173" s="10" t="s">
        <v>1364</v>
      </c>
      <c r="B173" s="92">
        <f t="shared" si="21"/>
        <v>86.209199999999996</v>
      </c>
      <c r="C173" s="92">
        <f>('Цены на металл '!AA172*'Цены на металл '!$B$4*1.4)+'Цены на металл '!AB172</f>
        <v>95.787999999999997</v>
      </c>
      <c r="D173" s="92">
        <f t="shared" si="22"/>
        <v>105.3668</v>
      </c>
      <c r="E173" s="92">
        <f t="shared" si="23"/>
        <v>114.9456</v>
      </c>
      <c r="F173" s="92">
        <f t="shared" si="23"/>
        <v>126.44015999999999</v>
      </c>
      <c r="G173" s="92">
        <f t="shared" si="23"/>
        <v>137.93472</v>
      </c>
      <c r="H173" s="124">
        <f t="shared" si="18"/>
        <v>191.57599999999999</v>
      </c>
      <c r="I173" s="124">
        <f t="shared" si="19"/>
        <v>210.7336</v>
      </c>
      <c r="J173" s="125">
        <f t="shared" si="20"/>
        <v>287.36399999999998</v>
      </c>
    </row>
    <row r="174" spans="1:10" ht="14.95" customHeight="1">
      <c r="A174" s="9" t="s">
        <v>1425</v>
      </c>
      <c r="B174" s="92">
        <f t="shared" si="21"/>
        <v>0</v>
      </c>
      <c r="C174" s="92">
        <f>('Цены на металл '!AA173*'Цены на металл '!$B$4*1.4)+'Цены на металл '!AB173</f>
        <v>0</v>
      </c>
      <c r="D174" s="92">
        <f t="shared" si="22"/>
        <v>0</v>
      </c>
      <c r="E174" s="92">
        <f t="shared" si="23"/>
        <v>0</v>
      </c>
      <c r="F174" s="92">
        <f t="shared" si="23"/>
        <v>0</v>
      </c>
      <c r="G174" s="92">
        <f t="shared" si="23"/>
        <v>0</v>
      </c>
      <c r="H174" s="124">
        <f t="shared" si="18"/>
        <v>0</v>
      </c>
      <c r="I174" s="124">
        <f t="shared" si="19"/>
        <v>0</v>
      </c>
      <c r="J174" s="125">
        <f t="shared" si="20"/>
        <v>0</v>
      </c>
    </row>
    <row r="175" spans="1:10" ht="14.95" customHeight="1">
      <c r="A175" s="10" t="s">
        <v>1365</v>
      </c>
      <c r="B175" s="92">
        <f t="shared" si="21"/>
        <v>120.28500000000001</v>
      </c>
      <c r="C175" s="92">
        <f>('Цены на металл '!AA174*'Цены на металл '!$B$4*1.4)+'Цены на металл '!AB174</f>
        <v>133.65</v>
      </c>
      <c r="D175" s="92">
        <f t="shared" si="22"/>
        <v>147.01500000000001</v>
      </c>
      <c r="E175" s="92">
        <f t="shared" si="23"/>
        <v>160.38</v>
      </c>
      <c r="F175" s="92">
        <f t="shared" si="23"/>
        <v>176.41800000000001</v>
      </c>
      <c r="G175" s="92">
        <f t="shared" si="23"/>
        <v>192.45599999999999</v>
      </c>
      <c r="H175" s="124">
        <f t="shared" si="18"/>
        <v>267.3</v>
      </c>
      <c r="I175" s="124">
        <f t="shared" si="19"/>
        <v>294.03000000000003</v>
      </c>
      <c r="J175" s="125">
        <f t="shared" si="20"/>
        <v>400.95000000000005</v>
      </c>
    </row>
    <row r="176" spans="1:10" ht="14.95" customHeight="1">
      <c r="A176" s="10" t="s">
        <v>1366</v>
      </c>
      <c r="B176" s="92">
        <f t="shared" si="21"/>
        <v>121.75920000000001</v>
      </c>
      <c r="C176" s="92">
        <f>('Цены на металл '!AA175*'Цены на металл '!$B$4*1.4)+'Цены на металл '!AB175</f>
        <v>135.28800000000001</v>
      </c>
      <c r="D176" s="92">
        <f t="shared" si="22"/>
        <v>148.81680000000003</v>
      </c>
      <c r="E176" s="92">
        <f t="shared" si="23"/>
        <v>162.34560000000002</v>
      </c>
      <c r="F176" s="92">
        <f t="shared" si="23"/>
        <v>178.58016000000003</v>
      </c>
      <c r="G176" s="92">
        <f t="shared" si="23"/>
        <v>194.81472000000002</v>
      </c>
      <c r="H176" s="124">
        <f t="shared" si="18"/>
        <v>270.57600000000002</v>
      </c>
      <c r="I176" s="124">
        <f t="shared" si="19"/>
        <v>297.63360000000006</v>
      </c>
      <c r="J176" s="125">
        <f t="shared" si="20"/>
        <v>405.86400000000003</v>
      </c>
    </row>
    <row r="177" spans="1:10" ht="14.95" customHeight="1">
      <c r="A177" s="10" t="s">
        <v>1367</v>
      </c>
      <c r="B177" s="92">
        <f t="shared" si="21"/>
        <v>122.33250000000001</v>
      </c>
      <c r="C177" s="92">
        <f>('Цены на металл '!AA176*'Цены на металл '!$B$4*1.4)+'Цены на металл '!AB176</f>
        <v>135.92500000000001</v>
      </c>
      <c r="D177" s="92">
        <f t="shared" si="22"/>
        <v>149.51750000000001</v>
      </c>
      <c r="E177" s="92">
        <f t="shared" si="23"/>
        <v>163.11000000000001</v>
      </c>
      <c r="F177" s="92">
        <f t="shared" si="23"/>
        <v>179.42100000000002</v>
      </c>
      <c r="G177" s="92">
        <f t="shared" si="23"/>
        <v>195.732</v>
      </c>
      <c r="H177" s="124">
        <f t="shared" si="18"/>
        <v>271.85000000000002</v>
      </c>
      <c r="I177" s="124">
        <f t="shared" si="19"/>
        <v>299.03500000000003</v>
      </c>
      <c r="J177" s="125">
        <f t="shared" si="20"/>
        <v>407.77500000000003</v>
      </c>
    </row>
    <row r="178" spans="1:10" ht="14.95" customHeight="1">
      <c r="A178" s="10" t="s">
        <v>1368</v>
      </c>
      <c r="B178" s="92">
        <f t="shared" si="21"/>
        <v>123.39720000000001</v>
      </c>
      <c r="C178" s="92">
        <f>('Цены на металл '!AA177*'Цены на металл '!$B$4*1.4)+'Цены на металл '!AB177</f>
        <v>137.108</v>
      </c>
      <c r="D178" s="92">
        <f t="shared" si="22"/>
        <v>150.81880000000001</v>
      </c>
      <c r="E178" s="92">
        <f t="shared" si="23"/>
        <v>164.52959999999999</v>
      </c>
      <c r="F178" s="92">
        <f t="shared" si="23"/>
        <v>180.98256000000001</v>
      </c>
      <c r="G178" s="92">
        <f t="shared" si="23"/>
        <v>197.43551999999997</v>
      </c>
      <c r="H178" s="124">
        <f t="shared" si="18"/>
        <v>274.21600000000001</v>
      </c>
      <c r="I178" s="124">
        <f t="shared" si="19"/>
        <v>301.63760000000002</v>
      </c>
      <c r="J178" s="125">
        <f t="shared" si="20"/>
        <v>411.32400000000001</v>
      </c>
    </row>
    <row r="179" spans="1:10" ht="14.95" customHeight="1">
      <c r="A179" s="10" t="s">
        <v>1369</v>
      </c>
      <c r="B179" s="92">
        <f t="shared" si="21"/>
        <v>129.53970000000001</v>
      </c>
      <c r="C179" s="92">
        <f>('Цены на металл '!AA178*'Цены на металл '!$B$4*1.4)+'Цены на металл '!AB178</f>
        <v>143.93299999999999</v>
      </c>
      <c r="D179" s="92">
        <f t="shared" si="22"/>
        <v>158.3263</v>
      </c>
      <c r="E179" s="92">
        <f t="shared" si="23"/>
        <v>172.71959999999999</v>
      </c>
      <c r="F179" s="92">
        <f t="shared" si="23"/>
        <v>189.99155999999999</v>
      </c>
      <c r="G179" s="92">
        <f t="shared" si="23"/>
        <v>207.26351999999997</v>
      </c>
      <c r="H179" s="124">
        <f t="shared" si="18"/>
        <v>287.86599999999999</v>
      </c>
      <c r="I179" s="124">
        <f t="shared" si="19"/>
        <v>316.65260000000001</v>
      </c>
      <c r="J179" s="125">
        <f t="shared" si="20"/>
        <v>431.79899999999998</v>
      </c>
    </row>
    <row r="180" spans="1:10" ht="14.95" customHeight="1">
      <c r="A180" s="10" t="s">
        <v>1370</v>
      </c>
      <c r="B180" s="92">
        <f t="shared" si="21"/>
        <v>131.66910000000001</v>
      </c>
      <c r="C180" s="92">
        <f>('Цены на металл '!AA179*'Цены на металл '!$B$4*1.4)+'Цены на металл '!AB179</f>
        <v>146.29900000000001</v>
      </c>
      <c r="D180" s="92">
        <f t="shared" si="22"/>
        <v>160.92890000000003</v>
      </c>
      <c r="E180" s="92">
        <f t="shared" si="23"/>
        <v>175.55879999999999</v>
      </c>
      <c r="F180" s="92">
        <f t="shared" si="23"/>
        <v>193.11468000000002</v>
      </c>
      <c r="G180" s="92">
        <f t="shared" si="23"/>
        <v>210.67055999999999</v>
      </c>
      <c r="H180" s="124">
        <f t="shared" si="18"/>
        <v>292.59800000000001</v>
      </c>
      <c r="I180" s="124">
        <f t="shared" si="19"/>
        <v>321.85780000000005</v>
      </c>
      <c r="J180" s="125">
        <f t="shared" si="20"/>
        <v>438.89700000000005</v>
      </c>
    </row>
    <row r="181" spans="1:10" ht="14.95" customHeight="1">
      <c r="A181" s="10" t="s">
        <v>1371</v>
      </c>
      <c r="B181" s="92">
        <f t="shared" si="21"/>
        <v>132.65189999999998</v>
      </c>
      <c r="C181" s="92">
        <f>('Цены на металл '!AA180*'Цены на металл '!$B$4*1.4)+'Цены на металл '!AB180</f>
        <v>147.39099999999999</v>
      </c>
      <c r="D181" s="92">
        <f t="shared" si="22"/>
        <v>162.1301</v>
      </c>
      <c r="E181" s="92">
        <f t="shared" si="23"/>
        <v>176.86919999999998</v>
      </c>
      <c r="F181" s="92">
        <f t="shared" si="23"/>
        <v>194.55611999999999</v>
      </c>
      <c r="G181" s="92">
        <f t="shared" si="23"/>
        <v>212.24303999999998</v>
      </c>
      <c r="H181" s="124">
        <f t="shared" si="18"/>
        <v>294.78199999999998</v>
      </c>
      <c r="I181" s="124">
        <f t="shared" si="19"/>
        <v>324.2602</v>
      </c>
      <c r="J181" s="125">
        <f t="shared" si="20"/>
        <v>442.173</v>
      </c>
    </row>
    <row r="182" spans="1:10" ht="14.95" customHeight="1">
      <c r="A182" s="10" t="s">
        <v>1372</v>
      </c>
      <c r="B182" s="92">
        <f t="shared" si="21"/>
        <v>135.846</v>
      </c>
      <c r="C182" s="92">
        <f>('Цены на металл '!AA181*'Цены на металл '!$B$4*1.4)+'Цены на металл '!AB181</f>
        <v>150.94</v>
      </c>
      <c r="D182" s="92">
        <f t="shared" si="22"/>
        <v>166.03400000000002</v>
      </c>
      <c r="E182" s="92">
        <f t="shared" si="23"/>
        <v>181.12799999999999</v>
      </c>
      <c r="F182" s="92">
        <f t="shared" si="23"/>
        <v>199.24080000000001</v>
      </c>
      <c r="G182" s="92">
        <f t="shared" si="23"/>
        <v>217.35359999999997</v>
      </c>
      <c r="H182" s="124">
        <f t="shared" ref="H182:H245" si="24">C182*2</f>
        <v>301.88</v>
      </c>
      <c r="I182" s="124">
        <f t="shared" ref="I182:I245" si="25">D182*2</f>
        <v>332.06800000000004</v>
      </c>
      <c r="J182" s="125">
        <f t="shared" ref="J182:J245" si="26">C182*3</f>
        <v>452.82</v>
      </c>
    </row>
    <row r="183" spans="1:10" ht="14.95" customHeight="1">
      <c r="A183" s="10" t="s">
        <v>1373</v>
      </c>
      <c r="B183" s="92">
        <f t="shared" si="21"/>
        <v>140.10480000000001</v>
      </c>
      <c r="C183" s="92">
        <f>('Цены на металл '!AA182*'Цены на металл '!$B$4*1.4)+'Цены на металл '!AB182</f>
        <v>155.672</v>
      </c>
      <c r="D183" s="92">
        <f t="shared" si="22"/>
        <v>171.23920000000001</v>
      </c>
      <c r="E183" s="92">
        <f t="shared" si="23"/>
        <v>186.8064</v>
      </c>
      <c r="F183" s="92">
        <f t="shared" si="23"/>
        <v>205.48704000000001</v>
      </c>
      <c r="G183" s="92">
        <f t="shared" si="23"/>
        <v>224.16767999999999</v>
      </c>
      <c r="H183" s="124">
        <f t="shared" si="24"/>
        <v>311.34399999999999</v>
      </c>
      <c r="I183" s="124">
        <f t="shared" si="25"/>
        <v>342.47840000000002</v>
      </c>
      <c r="J183" s="125">
        <f t="shared" si="26"/>
        <v>467.01599999999996</v>
      </c>
    </row>
    <row r="184" spans="1:10" ht="14.95" customHeight="1">
      <c r="A184" s="10" t="s">
        <v>1374</v>
      </c>
      <c r="B184" s="92">
        <f t="shared" si="21"/>
        <v>139.0401</v>
      </c>
      <c r="C184" s="92">
        <f>('Цены на металл '!AA183*'Цены на металл '!$B$4*1.4)+'Цены на металл '!AB183</f>
        <v>154.489</v>
      </c>
      <c r="D184" s="92">
        <f t="shared" si="22"/>
        <v>169.93790000000001</v>
      </c>
      <c r="E184" s="92">
        <f t="shared" si="23"/>
        <v>185.38679999999999</v>
      </c>
      <c r="F184" s="92">
        <f t="shared" si="23"/>
        <v>203.92548000000002</v>
      </c>
      <c r="G184" s="92">
        <f t="shared" si="23"/>
        <v>222.46415999999999</v>
      </c>
      <c r="H184" s="124">
        <f t="shared" si="24"/>
        <v>308.97800000000001</v>
      </c>
      <c r="I184" s="124">
        <f t="shared" si="25"/>
        <v>339.87580000000003</v>
      </c>
      <c r="J184" s="125">
        <f t="shared" si="26"/>
        <v>463.46699999999998</v>
      </c>
    </row>
    <row r="185" spans="1:10" ht="14.95" customHeight="1">
      <c r="A185" s="10" t="s">
        <v>1375</v>
      </c>
      <c r="B185" s="92">
        <f t="shared" si="21"/>
        <v>146.32919999999999</v>
      </c>
      <c r="C185" s="92">
        <f>('Цены на металл '!AA184*'Цены на металл '!$B$4*1.4)+'Цены на металл '!AB184</f>
        <v>162.58799999999999</v>
      </c>
      <c r="D185" s="92">
        <f t="shared" si="22"/>
        <v>178.8468</v>
      </c>
      <c r="E185" s="92">
        <f t="shared" si="23"/>
        <v>195.10559999999998</v>
      </c>
      <c r="F185" s="92">
        <f t="shared" si="23"/>
        <v>214.61616000000001</v>
      </c>
      <c r="G185" s="92">
        <f t="shared" si="23"/>
        <v>234.12671999999998</v>
      </c>
      <c r="H185" s="124">
        <f t="shared" si="24"/>
        <v>325.17599999999999</v>
      </c>
      <c r="I185" s="124">
        <f t="shared" si="25"/>
        <v>357.6936</v>
      </c>
      <c r="J185" s="125">
        <f t="shared" si="26"/>
        <v>487.76400000000001</v>
      </c>
    </row>
    <row r="186" spans="1:10" ht="14.95" customHeight="1">
      <c r="A186" s="10" t="s">
        <v>1376</v>
      </c>
      <c r="B186" s="92">
        <f t="shared" si="21"/>
        <v>151.2432</v>
      </c>
      <c r="C186" s="92">
        <f>('Цены на металл '!AA185*'Цены на металл '!$B$4*1.4)+'Цены на металл '!AB185</f>
        <v>168.048</v>
      </c>
      <c r="D186" s="92">
        <f t="shared" si="22"/>
        <v>184.85280000000003</v>
      </c>
      <c r="E186" s="92">
        <f t="shared" si="23"/>
        <v>201.6576</v>
      </c>
      <c r="F186" s="92">
        <f t="shared" si="23"/>
        <v>221.82336000000004</v>
      </c>
      <c r="G186" s="92">
        <f t="shared" si="23"/>
        <v>241.98911999999999</v>
      </c>
      <c r="H186" s="124">
        <f t="shared" si="24"/>
        <v>336.096</v>
      </c>
      <c r="I186" s="124">
        <f t="shared" si="25"/>
        <v>369.70560000000006</v>
      </c>
      <c r="J186" s="125">
        <f t="shared" si="26"/>
        <v>504.14400000000001</v>
      </c>
    </row>
    <row r="187" spans="1:10" ht="14.95" customHeight="1">
      <c r="A187" s="10" t="s">
        <v>1377</v>
      </c>
      <c r="B187" s="92">
        <f t="shared" si="21"/>
        <v>165.32999999999998</v>
      </c>
      <c r="C187" s="92">
        <f>('Цены на металл '!AA186*'Цены на металл '!$B$4*1.4)+'Цены на металл '!AB186</f>
        <v>183.7</v>
      </c>
      <c r="D187" s="92">
        <f t="shared" si="22"/>
        <v>202.07</v>
      </c>
      <c r="E187" s="92">
        <f t="shared" si="23"/>
        <v>220.43999999999997</v>
      </c>
      <c r="F187" s="92">
        <f t="shared" si="23"/>
        <v>242.48399999999998</v>
      </c>
      <c r="G187" s="92">
        <f t="shared" si="23"/>
        <v>264.52799999999996</v>
      </c>
      <c r="H187" s="124">
        <f t="shared" si="24"/>
        <v>367.4</v>
      </c>
      <c r="I187" s="124">
        <f t="shared" si="25"/>
        <v>404.14</v>
      </c>
      <c r="J187" s="125">
        <f t="shared" si="26"/>
        <v>551.09999999999991</v>
      </c>
    </row>
    <row r="188" spans="1:10" ht="14.95" customHeight="1">
      <c r="A188" s="10" t="s">
        <v>1378</v>
      </c>
      <c r="B188" s="92">
        <f t="shared" si="21"/>
        <v>150.34229999999999</v>
      </c>
      <c r="C188" s="92">
        <f>('Цены на металл '!AA187*'Цены на металл '!$B$4*1.4)+'Цены на металл '!AB187</f>
        <v>167.047</v>
      </c>
      <c r="D188" s="92">
        <f t="shared" si="22"/>
        <v>183.7517</v>
      </c>
      <c r="E188" s="92">
        <f t="shared" si="23"/>
        <v>200.4564</v>
      </c>
      <c r="F188" s="92">
        <f t="shared" si="23"/>
        <v>220.50203999999999</v>
      </c>
      <c r="G188" s="92">
        <f t="shared" si="23"/>
        <v>240.54767999999999</v>
      </c>
      <c r="H188" s="124">
        <f t="shared" si="24"/>
        <v>334.09399999999999</v>
      </c>
      <c r="I188" s="124">
        <f t="shared" si="25"/>
        <v>367.5034</v>
      </c>
      <c r="J188" s="125">
        <f t="shared" si="26"/>
        <v>501.14099999999996</v>
      </c>
    </row>
    <row r="189" spans="1:10" ht="14.95" customHeight="1">
      <c r="A189" s="10" t="s">
        <v>1379</v>
      </c>
      <c r="B189" s="92">
        <f t="shared" si="21"/>
        <v>153.12690000000003</v>
      </c>
      <c r="C189" s="92">
        <f>('Цены на металл '!AA188*'Цены на металл '!$B$4*1.4)+'Цены на металл '!AB188</f>
        <v>170.14100000000002</v>
      </c>
      <c r="D189" s="92">
        <f t="shared" si="22"/>
        <v>187.15510000000003</v>
      </c>
      <c r="E189" s="92">
        <f t="shared" si="23"/>
        <v>204.16920000000002</v>
      </c>
      <c r="F189" s="92">
        <f t="shared" si="23"/>
        <v>224.58612000000002</v>
      </c>
      <c r="G189" s="92">
        <f t="shared" si="23"/>
        <v>245.00304</v>
      </c>
      <c r="H189" s="124">
        <f t="shared" si="24"/>
        <v>340.28200000000004</v>
      </c>
      <c r="I189" s="124">
        <f t="shared" si="25"/>
        <v>374.31020000000007</v>
      </c>
      <c r="J189" s="125">
        <f t="shared" si="26"/>
        <v>510.42300000000006</v>
      </c>
    </row>
    <row r="190" spans="1:10" ht="14.95" customHeight="1">
      <c r="A190" s="10" t="s">
        <v>1380</v>
      </c>
      <c r="B190" s="92">
        <f t="shared" si="21"/>
        <v>154.27349999999998</v>
      </c>
      <c r="C190" s="92">
        <f>('Цены на металл '!AA189*'Цены на металл '!$B$4*1.4)+'Цены на металл '!AB189</f>
        <v>171.41499999999999</v>
      </c>
      <c r="D190" s="92">
        <f t="shared" si="22"/>
        <v>188.5565</v>
      </c>
      <c r="E190" s="92">
        <f t="shared" si="23"/>
        <v>205.69799999999998</v>
      </c>
      <c r="F190" s="92">
        <f t="shared" si="23"/>
        <v>226.26779999999999</v>
      </c>
      <c r="G190" s="92">
        <f t="shared" si="23"/>
        <v>246.83759999999995</v>
      </c>
      <c r="H190" s="124">
        <f t="shared" si="24"/>
        <v>342.83</v>
      </c>
      <c r="I190" s="124">
        <f t="shared" si="25"/>
        <v>377.113</v>
      </c>
      <c r="J190" s="125">
        <f t="shared" si="26"/>
        <v>514.245</v>
      </c>
    </row>
    <row r="191" spans="1:10" ht="14.95" customHeight="1">
      <c r="A191" s="10" t="s">
        <v>1381</v>
      </c>
      <c r="B191" s="92">
        <f t="shared" si="21"/>
        <v>158.4504</v>
      </c>
      <c r="C191" s="92">
        <f>('Цены на металл '!AA190*'Цены на металл '!$B$4*1.4)+'Цены на металл '!AB190</f>
        <v>176.05599999999998</v>
      </c>
      <c r="D191" s="92">
        <f t="shared" si="22"/>
        <v>193.66159999999999</v>
      </c>
      <c r="E191" s="92">
        <f t="shared" si="23"/>
        <v>211.26719999999997</v>
      </c>
      <c r="F191" s="92">
        <f t="shared" si="23"/>
        <v>232.39391999999998</v>
      </c>
      <c r="G191" s="92">
        <f t="shared" si="23"/>
        <v>253.52063999999996</v>
      </c>
      <c r="H191" s="124">
        <f t="shared" si="24"/>
        <v>352.11199999999997</v>
      </c>
      <c r="I191" s="124">
        <f t="shared" si="25"/>
        <v>387.32319999999999</v>
      </c>
      <c r="J191" s="125">
        <f t="shared" si="26"/>
        <v>528.16799999999989</v>
      </c>
    </row>
    <row r="192" spans="1:10" ht="14.95" customHeight="1">
      <c r="A192" s="10" t="s">
        <v>1382</v>
      </c>
      <c r="B192" s="92">
        <f t="shared" si="21"/>
        <v>164.511</v>
      </c>
      <c r="C192" s="92">
        <f>('Цены на металл '!AA191*'Цены на металл '!$B$4*1.4)+'Цены на металл '!AB191</f>
        <v>182.79</v>
      </c>
      <c r="D192" s="92">
        <f t="shared" si="22"/>
        <v>201.06900000000002</v>
      </c>
      <c r="E192" s="92">
        <f t="shared" si="23"/>
        <v>219.34799999999998</v>
      </c>
      <c r="F192" s="92">
        <f t="shared" si="23"/>
        <v>241.28280000000001</v>
      </c>
      <c r="G192" s="92">
        <f t="shared" si="23"/>
        <v>263.21759999999995</v>
      </c>
      <c r="H192" s="124">
        <f t="shared" si="24"/>
        <v>365.58</v>
      </c>
      <c r="I192" s="124">
        <f t="shared" si="25"/>
        <v>402.13800000000003</v>
      </c>
      <c r="J192" s="125">
        <f t="shared" si="26"/>
        <v>548.37</v>
      </c>
    </row>
    <row r="193" spans="1:10" ht="14.95" customHeight="1">
      <c r="A193" s="10" t="s">
        <v>1383</v>
      </c>
      <c r="B193" s="92">
        <f t="shared" si="21"/>
        <v>173.52</v>
      </c>
      <c r="C193" s="92">
        <f>('Цены на металл '!AA192*'Цены на металл '!$B$4*1.4)+'Цены на металл '!AB192</f>
        <v>192.8</v>
      </c>
      <c r="D193" s="92">
        <f t="shared" si="22"/>
        <v>212.08000000000004</v>
      </c>
      <c r="E193" s="92">
        <f t="shared" si="23"/>
        <v>231.36</v>
      </c>
      <c r="F193" s="92">
        <f t="shared" si="23"/>
        <v>254.49600000000004</v>
      </c>
      <c r="G193" s="92">
        <f t="shared" si="23"/>
        <v>277.63200000000001</v>
      </c>
      <c r="H193" s="124">
        <f t="shared" si="24"/>
        <v>385.6</v>
      </c>
      <c r="I193" s="124">
        <f t="shared" si="25"/>
        <v>424.16000000000008</v>
      </c>
      <c r="J193" s="125">
        <f t="shared" si="26"/>
        <v>578.40000000000009</v>
      </c>
    </row>
    <row r="194" spans="1:10" ht="14.95" customHeight="1">
      <c r="A194" s="10" t="s">
        <v>1384</v>
      </c>
      <c r="B194" s="92">
        <f t="shared" si="21"/>
        <v>192.6027</v>
      </c>
      <c r="C194" s="92">
        <f>('Цены на металл '!AA193*'Цены на металл '!$B$4*1.4)+'Цены на металл '!AB193</f>
        <v>214.00299999999999</v>
      </c>
      <c r="D194" s="92">
        <f t="shared" si="22"/>
        <v>235.4033</v>
      </c>
      <c r="E194" s="92">
        <f t="shared" si="23"/>
        <v>256.80359999999996</v>
      </c>
      <c r="F194" s="92">
        <f t="shared" si="23"/>
        <v>282.48395999999997</v>
      </c>
      <c r="G194" s="92">
        <f t="shared" si="23"/>
        <v>308.16431999999992</v>
      </c>
      <c r="H194" s="124">
        <f t="shared" si="24"/>
        <v>428.00599999999997</v>
      </c>
      <c r="I194" s="124">
        <f t="shared" si="25"/>
        <v>470.8066</v>
      </c>
      <c r="J194" s="125">
        <f t="shared" si="26"/>
        <v>642.00900000000001</v>
      </c>
    </row>
    <row r="195" spans="1:10" ht="14.95" customHeight="1">
      <c r="A195" s="10" t="s">
        <v>1385</v>
      </c>
      <c r="B195" s="92">
        <f t="shared" si="21"/>
        <v>169.42500000000001</v>
      </c>
      <c r="C195" s="92">
        <f>('Цены на металл '!AA194*'Цены на металл '!$B$4*1.4)+'Цены на металл '!AB194</f>
        <v>188.25</v>
      </c>
      <c r="D195" s="92">
        <f t="shared" si="22"/>
        <v>207.07500000000002</v>
      </c>
      <c r="E195" s="92">
        <f t="shared" si="23"/>
        <v>225.9</v>
      </c>
      <c r="F195" s="92">
        <f t="shared" si="23"/>
        <v>248.49</v>
      </c>
      <c r="G195" s="92">
        <f t="shared" si="23"/>
        <v>271.08</v>
      </c>
      <c r="H195" s="124">
        <f t="shared" si="24"/>
        <v>376.5</v>
      </c>
      <c r="I195" s="124">
        <f t="shared" si="25"/>
        <v>414.15000000000003</v>
      </c>
      <c r="J195" s="125">
        <f t="shared" si="26"/>
        <v>564.75</v>
      </c>
    </row>
    <row r="196" spans="1:10" ht="14.95" customHeight="1">
      <c r="A196" s="10" t="s">
        <v>1386</v>
      </c>
      <c r="B196" s="92">
        <f t="shared" si="21"/>
        <v>185.80500000000001</v>
      </c>
      <c r="C196" s="92">
        <f>('Цены на металл '!AA195*'Цены на металл '!$B$4*1.4)+'Цены на металл '!AB195</f>
        <v>206.45</v>
      </c>
      <c r="D196" s="92">
        <f t="shared" si="22"/>
        <v>227.095</v>
      </c>
      <c r="E196" s="92">
        <f t="shared" si="23"/>
        <v>247.73999999999998</v>
      </c>
      <c r="F196" s="92">
        <f t="shared" si="23"/>
        <v>272.51400000000001</v>
      </c>
      <c r="G196" s="92">
        <f t="shared" si="23"/>
        <v>297.28799999999995</v>
      </c>
      <c r="H196" s="124">
        <f t="shared" si="24"/>
        <v>412.9</v>
      </c>
      <c r="I196" s="124">
        <f t="shared" si="25"/>
        <v>454.19</v>
      </c>
      <c r="J196" s="125">
        <f t="shared" si="26"/>
        <v>619.34999999999991</v>
      </c>
    </row>
    <row r="197" spans="1:10" ht="14.95" customHeight="1">
      <c r="A197" s="10" t="s">
        <v>1387</v>
      </c>
      <c r="B197" s="92">
        <f t="shared" ref="B197:B260" si="27">C197*0.9</f>
        <v>202.18499999999997</v>
      </c>
      <c r="C197" s="92">
        <f>('Цены на металл '!AA196*'Цены на металл '!$B$4*1.4)+'Цены на металл '!AB196</f>
        <v>224.64999999999998</v>
      </c>
      <c r="D197" s="92">
        <f t="shared" ref="D197:D260" si="28">C197*1.1</f>
        <v>247.11500000000001</v>
      </c>
      <c r="E197" s="92">
        <f t="shared" ref="E197:G260" si="29">C197*1.2</f>
        <v>269.58</v>
      </c>
      <c r="F197" s="92">
        <f t="shared" si="29"/>
        <v>296.53800000000001</v>
      </c>
      <c r="G197" s="92">
        <f t="shared" si="29"/>
        <v>323.49599999999998</v>
      </c>
      <c r="H197" s="124">
        <f t="shared" si="24"/>
        <v>449.29999999999995</v>
      </c>
      <c r="I197" s="124">
        <f t="shared" si="25"/>
        <v>494.23</v>
      </c>
      <c r="J197" s="125">
        <f t="shared" si="26"/>
        <v>673.94999999999993</v>
      </c>
    </row>
    <row r="198" spans="1:10" ht="14.95" customHeight="1">
      <c r="A198" s="10" t="s">
        <v>1388</v>
      </c>
      <c r="B198" s="92">
        <f t="shared" si="27"/>
        <v>218.565</v>
      </c>
      <c r="C198" s="92">
        <f>('Цены на металл '!AA197*'Цены на металл '!$B$4*1.4)+'Цены на металл '!AB197</f>
        <v>242.85</v>
      </c>
      <c r="D198" s="92">
        <f t="shared" si="28"/>
        <v>267.13499999999999</v>
      </c>
      <c r="E198" s="92">
        <f t="shared" si="29"/>
        <v>291.41999999999996</v>
      </c>
      <c r="F198" s="92">
        <f t="shared" si="29"/>
        <v>320.56199999999995</v>
      </c>
      <c r="G198" s="92">
        <f t="shared" si="29"/>
        <v>349.70399999999995</v>
      </c>
      <c r="H198" s="124">
        <f t="shared" si="24"/>
        <v>485.7</v>
      </c>
      <c r="I198" s="124">
        <f t="shared" si="25"/>
        <v>534.27</v>
      </c>
      <c r="J198" s="125">
        <f t="shared" si="26"/>
        <v>728.55</v>
      </c>
    </row>
    <row r="199" spans="1:10" ht="14.95" customHeight="1">
      <c r="A199" s="10" t="s">
        <v>1389</v>
      </c>
      <c r="B199" s="92">
        <f t="shared" si="27"/>
        <v>226.755</v>
      </c>
      <c r="C199" s="92">
        <f>('Цены на металл '!AA198*'Цены на металл '!$B$4*1.4)+'Цены на металл '!AB198</f>
        <v>251.95</v>
      </c>
      <c r="D199" s="92">
        <f t="shared" si="28"/>
        <v>277.14499999999998</v>
      </c>
      <c r="E199" s="92">
        <f t="shared" si="29"/>
        <v>302.33999999999997</v>
      </c>
      <c r="F199" s="92">
        <f t="shared" si="29"/>
        <v>332.57399999999996</v>
      </c>
      <c r="G199" s="92">
        <f t="shared" si="29"/>
        <v>362.80799999999994</v>
      </c>
      <c r="H199" s="124">
        <f t="shared" si="24"/>
        <v>503.9</v>
      </c>
      <c r="I199" s="124">
        <f t="shared" si="25"/>
        <v>554.29</v>
      </c>
      <c r="J199" s="125">
        <f t="shared" si="26"/>
        <v>755.84999999999991</v>
      </c>
    </row>
    <row r="200" spans="1:10" ht="14.95" customHeight="1">
      <c r="A200" s="10" t="s">
        <v>1390</v>
      </c>
      <c r="B200" s="92">
        <f t="shared" si="27"/>
        <v>178.9254</v>
      </c>
      <c r="C200" s="92">
        <f>('Цены на металл '!AA199*'Цены на металл '!$B$4*1.4)+'Цены на металл '!AB199</f>
        <v>198.80599999999998</v>
      </c>
      <c r="D200" s="92">
        <f t="shared" si="28"/>
        <v>218.6866</v>
      </c>
      <c r="E200" s="92">
        <f t="shared" si="29"/>
        <v>238.56719999999996</v>
      </c>
      <c r="F200" s="92">
        <f t="shared" si="29"/>
        <v>262.42392000000001</v>
      </c>
      <c r="G200" s="92">
        <f t="shared" si="29"/>
        <v>286.28063999999995</v>
      </c>
      <c r="H200" s="124">
        <f t="shared" si="24"/>
        <v>397.61199999999997</v>
      </c>
      <c r="I200" s="124">
        <f t="shared" si="25"/>
        <v>437.3732</v>
      </c>
      <c r="J200" s="125">
        <f t="shared" si="26"/>
        <v>596.41799999999989</v>
      </c>
    </row>
    <row r="201" spans="1:10" ht="14.95" customHeight="1">
      <c r="A201" s="10" t="s">
        <v>1391</v>
      </c>
      <c r="B201" s="92">
        <f t="shared" si="27"/>
        <v>182.44710000000001</v>
      </c>
      <c r="C201" s="92">
        <f>('Цены на металл '!AA200*'Цены на металл '!$B$4*1.4)+'Цены на металл '!AB200</f>
        <v>202.71899999999999</v>
      </c>
      <c r="D201" s="92">
        <f t="shared" si="28"/>
        <v>222.99090000000001</v>
      </c>
      <c r="E201" s="92">
        <f t="shared" si="29"/>
        <v>243.26279999999997</v>
      </c>
      <c r="F201" s="92">
        <f t="shared" si="29"/>
        <v>267.58908000000002</v>
      </c>
      <c r="G201" s="92">
        <f t="shared" si="29"/>
        <v>291.91535999999996</v>
      </c>
      <c r="H201" s="124">
        <f t="shared" si="24"/>
        <v>405.43799999999999</v>
      </c>
      <c r="I201" s="124">
        <f t="shared" si="25"/>
        <v>445.98180000000002</v>
      </c>
      <c r="J201" s="125">
        <f t="shared" si="26"/>
        <v>608.15699999999993</v>
      </c>
    </row>
    <row r="202" spans="1:10" ht="14.95" customHeight="1">
      <c r="A202" s="10" t="s">
        <v>1392</v>
      </c>
      <c r="B202" s="92">
        <f t="shared" si="27"/>
        <v>185.80500000000001</v>
      </c>
      <c r="C202" s="92">
        <f>('Цены на металл '!AA201*'Цены на металл '!$B$4*1.4)+'Цены на металл '!AB201</f>
        <v>206.45</v>
      </c>
      <c r="D202" s="92">
        <f t="shared" si="28"/>
        <v>227.095</v>
      </c>
      <c r="E202" s="92">
        <f t="shared" si="29"/>
        <v>247.73999999999998</v>
      </c>
      <c r="F202" s="92">
        <f t="shared" si="29"/>
        <v>272.51400000000001</v>
      </c>
      <c r="G202" s="92">
        <f t="shared" si="29"/>
        <v>297.28799999999995</v>
      </c>
      <c r="H202" s="124">
        <f t="shared" si="24"/>
        <v>412.9</v>
      </c>
      <c r="I202" s="124">
        <f t="shared" si="25"/>
        <v>454.19</v>
      </c>
      <c r="J202" s="125">
        <f t="shared" si="26"/>
        <v>619.34999999999991</v>
      </c>
    </row>
    <row r="203" spans="1:10" ht="14.95" customHeight="1">
      <c r="A203" s="10" t="s">
        <v>1393</v>
      </c>
      <c r="B203" s="92">
        <f t="shared" si="27"/>
        <v>189.4905</v>
      </c>
      <c r="C203" s="92">
        <f>('Цены на металл '!AA202*'Цены на металл '!$B$4*1.4)+'Цены на металл '!AB202</f>
        <v>210.54499999999999</v>
      </c>
      <c r="D203" s="92">
        <f t="shared" si="28"/>
        <v>231.59950000000001</v>
      </c>
      <c r="E203" s="92">
        <f t="shared" si="29"/>
        <v>252.65399999999997</v>
      </c>
      <c r="F203" s="92">
        <f t="shared" si="29"/>
        <v>277.9194</v>
      </c>
      <c r="G203" s="92">
        <f t="shared" si="29"/>
        <v>303.18479999999994</v>
      </c>
      <c r="H203" s="124">
        <f t="shared" si="24"/>
        <v>421.09</v>
      </c>
      <c r="I203" s="124">
        <f t="shared" si="25"/>
        <v>463.19900000000001</v>
      </c>
      <c r="J203" s="125">
        <f t="shared" si="26"/>
        <v>631.63499999999999</v>
      </c>
    </row>
    <row r="204" spans="1:10" ht="14.95" customHeight="1">
      <c r="A204" s="10" t="s">
        <v>1394</v>
      </c>
      <c r="B204" s="92">
        <f t="shared" si="27"/>
        <v>196.53389999999999</v>
      </c>
      <c r="C204" s="92">
        <f>('Цены на металл '!AA203*'Цены на металл '!$B$4*1.4)+'Цены на металл '!AB203</f>
        <v>218.37099999999998</v>
      </c>
      <c r="D204" s="92">
        <f t="shared" si="28"/>
        <v>240.2081</v>
      </c>
      <c r="E204" s="92">
        <f t="shared" si="29"/>
        <v>262.04519999999997</v>
      </c>
      <c r="F204" s="92">
        <f t="shared" si="29"/>
        <v>288.24971999999997</v>
      </c>
      <c r="G204" s="92">
        <f t="shared" si="29"/>
        <v>314.45423999999997</v>
      </c>
      <c r="H204" s="124">
        <f t="shared" si="24"/>
        <v>436.74199999999996</v>
      </c>
      <c r="I204" s="124">
        <f t="shared" si="25"/>
        <v>480.4162</v>
      </c>
      <c r="J204" s="125">
        <f t="shared" si="26"/>
        <v>655.11299999999994</v>
      </c>
    </row>
    <row r="205" spans="1:10" ht="14.95" customHeight="1">
      <c r="A205" s="10" t="s">
        <v>1395</v>
      </c>
      <c r="B205" s="92">
        <f t="shared" si="27"/>
        <v>211.8492</v>
      </c>
      <c r="C205" s="92">
        <f>('Цены на металл '!AA204*'Цены на металл '!$B$4*1.4)+'Цены на металл '!AB204</f>
        <v>235.38799999999998</v>
      </c>
      <c r="D205" s="92">
        <f t="shared" si="28"/>
        <v>258.92680000000001</v>
      </c>
      <c r="E205" s="92">
        <f t="shared" si="29"/>
        <v>282.46559999999994</v>
      </c>
      <c r="F205" s="92">
        <f t="shared" si="29"/>
        <v>310.71215999999998</v>
      </c>
      <c r="G205" s="92">
        <f t="shared" si="29"/>
        <v>338.95871999999991</v>
      </c>
      <c r="H205" s="124">
        <f t="shared" si="24"/>
        <v>470.77599999999995</v>
      </c>
      <c r="I205" s="124">
        <f t="shared" si="25"/>
        <v>517.85360000000003</v>
      </c>
      <c r="J205" s="125">
        <f t="shared" si="26"/>
        <v>706.16399999999999</v>
      </c>
    </row>
    <row r="206" spans="1:10" ht="14.95" customHeight="1">
      <c r="A206" s="10" t="s">
        <v>1396</v>
      </c>
      <c r="B206" s="92">
        <f t="shared" si="27"/>
        <v>228.22919999999999</v>
      </c>
      <c r="C206" s="92">
        <f>('Цены на металл '!AA205*'Цены на металл '!$B$4*1.4)+'Цены на металл '!AB205</f>
        <v>253.58799999999999</v>
      </c>
      <c r="D206" s="92">
        <f t="shared" si="28"/>
        <v>278.9468</v>
      </c>
      <c r="E206" s="92">
        <f t="shared" si="29"/>
        <v>304.30559999999997</v>
      </c>
      <c r="F206" s="92">
        <f t="shared" si="29"/>
        <v>334.73615999999998</v>
      </c>
      <c r="G206" s="92">
        <f t="shared" si="29"/>
        <v>365.16671999999994</v>
      </c>
      <c r="H206" s="124">
        <f t="shared" si="24"/>
        <v>507.17599999999999</v>
      </c>
      <c r="I206" s="124">
        <f t="shared" si="25"/>
        <v>557.89359999999999</v>
      </c>
      <c r="J206" s="125">
        <f t="shared" si="26"/>
        <v>760.76400000000001</v>
      </c>
    </row>
    <row r="207" spans="1:10" ht="14.95" customHeight="1">
      <c r="A207" s="10" t="s">
        <v>1397</v>
      </c>
      <c r="B207" s="92">
        <f t="shared" si="27"/>
        <v>213.56909999999999</v>
      </c>
      <c r="C207" s="92">
        <f>('Цены на металл '!AA206*'Цены на металл '!$B$4*1.4)+'Цены на металл '!AB206</f>
        <v>237.29899999999998</v>
      </c>
      <c r="D207" s="92">
        <f t="shared" si="28"/>
        <v>261.02890000000002</v>
      </c>
      <c r="E207" s="92">
        <f t="shared" si="29"/>
        <v>284.75879999999995</v>
      </c>
      <c r="F207" s="92">
        <f t="shared" si="29"/>
        <v>313.23468000000003</v>
      </c>
      <c r="G207" s="92">
        <f t="shared" si="29"/>
        <v>341.71055999999993</v>
      </c>
      <c r="H207" s="124">
        <f t="shared" si="24"/>
        <v>474.59799999999996</v>
      </c>
      <c r="I207" s="124">
        <f t="shared" si="25"/>
        <v>522.05780000000004</v>
      </c>
      <c r="J207" s="125">
        <f t="shared" si="26"/>
        <v>711.89699999999993</v>
      </c>
    </row>
    <row r="208" spans="1:10" ht="14.95" customHeight="1">
      <c r="A208" s="10" t="s">
        <v>1398</v>
      </c>
      <c r="B208" s="92">
        <f t="shared" si="27"/>
        <v>217.82789999999997</v>
      </c>
      <c r="C208" s="92">
        <f>('Цены на металл '!AA207*'Цены на металл '!$B$4*1.4)+'Цены на металл '!AB207</f>
        <v>242.03099999999998</v>
      </c>
      <c r="D208" s="92">
        <f t="shared" si="28"/>
        <v>266.23410000000001</v>
      </c>
      <c r="E208" s="92">
        <f t="shared" si="29"/>
        <v>290.43719999999996</v>
      </c>
      <c r="F208" s="92">
        <f t="shared" si="29"/>
        <v>319.48092000000003</v>
      </c>
      <c r="G208" s="92">
        <f t="shared" si="29"/>
        <v>348.52463999999992</v>
      </c>
      <c r="H208" s="124">
        <f t="shared" si="24"/>
        <v>484.06199999999995</v>
      </c>
      <c r="I208" s="124">
        <f t="shared" si="25"/>
        <v>532.46820000000002</v>
      </c>
      <c r="J208" s="125">
        <f t="shared" si="26"/>
        <v>726.09299999999996</v>
      </c>
    </row>
    <row r="209" spans="1:10" ht="14.95" customHeight="1">
      <c r="A209" s="10" t="s">
        <v>1399</v>
      </c>
      <c r="B209" s="92">
        <f t="shared" si="27"/>
        <v>217.5822</v>
      </c>
      <c r="C209" s="92">
        <f>('Цены на металл '!AA208*'Цены на металл '!$B$4*1.4)+'Цены на металл '!AB208</f>
        <v>241.75799999999998</v>
      </c>
      <c r="D209" s="92">
        <f t="shared" si="28"/>
        <v>265.93380000000002</v>
      </c>
      <c r="E209" s="92">
        <f t="shared" si="29"/>
        <v>290.10959999999994</v>
      </c>
      <c r="F209" s="92">
        <f t="shared" si="29"/>
        <v>319.12056000000001</v>
      </c>
      <c r="G209" s="92">
        <f t="shared" si="29"/>
        <v>348.13151999999991</v>
      </c>
      <c r="H209" s="124">
        <f t="shared" si="24"/>
        <v>483.51599999999996</v>
      </c>
      <c r="I209" s="124">
        <f t="shared" si="25"/>
        <v>531.86760000000004</v>
      </c>
      <c r="J209" s="125">
        <f t="shared" si="26"/>
        <v>725.27399999999989</v>
      </c>
    </row>
    <row r="210" spans="1:10" ht="14.95" customHeight="1">
      <c r="A210" s="10" t="s">
        <v>1400</v>
      </c>
      <c r="B210" s="92">
        <f t="shared" si="27"/>
        <v>226.0179</v>
      </c>
      <c r="C210" s="92">
        <f>('Цены на металл '!AA209*'Цены на металл '!$B$4*1.4)+'Цены на металл '!AB209</f>
        <v>251.131</v>
      </c>
      <c r="D210" s="92">
        <f t="shared" si="28"/>
        <v>276.2441</v>
      </c>
      <c r="E210" s="92">
        <f t="shared" si="29"/>
        <v>301.35719999999998</v>
      </c>
      <c r="F210" s="92">
        <f t="shared" si="29"/>
        <v>331.49291999999997</v>
      </c>
      <c r="G210" s="92">
        <f t="shared" si="29"/>
        <v>361.62863999999996</v>
      </c>
      <c r="H210" s="124">
        <f t="shared" si="24"/>
        <v>502.262</v>
      </c>
      <c r="I210" s="124">
        <f t="shared" si="25"/>
        <v>552.48820000000001</v>
      </c>
      <c r="J210" s="125">
        <f t="shared" si="26"/>
        <v>753.39300000000003</v>
      </c>
    </row>
    <row r="211" spans="1:10" ht="14.95" customHeight="1">
      <c r="A211" s="10" t="s">
        <v>1401</v>
      </c>
      <c r="B211" s="92">
        <f t="shared" si="27"/>
        <v>234.3717</v>
      </c>
      <c r="C211" s="92">
        <f>('Цены на металл '!AA210*'Цены на металл '!$B$4*1.4)+'Цены на металл '!AB210</f>
        <v>260.41300000000001</v>
      </c>
      <c r="D211" s="92">
        <f t="shared" si="28"/>
        <v>286.45430000000005</v>
      </c>
      <c r="E211" s="92">
        <f t="shared" si="29"/>
        <v>312.49560000000002</v>
      </c>
      <c r="F211" s="92">
        <f t="shared" si="29"/>
        <v>343.74516000000006</v>
      </c>
      <c r="G211" s="92">
        <f t="shared" si="29"/>
        <v>374.99472000000003</v>
      </c>
      <c r="H211" s="124">
        <f t="shared" si="24"/>
        <v>520.82600000000002</v>
      </c>
      <c r="I211" s="124">
        <f t="shared" si="25"/>
        <v>572.90860000000009</v>
      </c>
      <c r="J211" s="125">
        <f t="shared" si="26"/>
        <v>781.23900000000003</v>
      </c>
    </row>
    <row r="212" spans="1:10" ht="14.95" customHeight="1">
      <c r="A212" s="10" t="s">
        <v>1402</v>
      </c>
      <c r="B212" s="92">
        <f t="shared" si="27"/>
        <v>255.50189999999998</v>
      </c>
      <c r="C212" s="92">
        <f>('Цены на металл '!AA211*'Цены на металл '!$B$4*1.4)+'Цены на металл '!AB211</f>
        <v>283.89099999999996</v>
      </c>
      <c r="D212" s="92">
        <f t="shared" si="28"/>
        <v>312.2801</v>
      </c>
      <c r="E212" s="92">
        <f t="shared" si="29"/>
        <v>340.66919999999993</v>
      </c>
      <c r="F212" s="92">
        <f t="shared" si="29"/>
        <v>374.73611999999997</v>
      </c>
      <c r="G212" s="92">
        <f t="shared" si="29"/>
        <v>408.8030399999999</v>
      </c>
      <c r="H212" s="124">
        <f t="shared" si="24"/>
        <v>567.78199999999993</v>
      </c>
      <c r="I212" s="124">
        <f t="shared" si="25"/>
        <v>624.56020000000001</v>
      </c>
      <c r="J212" s="125">
        <f t="shared" si="26"/>
        <v>851.67299999999989</v>
      </c>
    </row>
    <row r="213" spans="1:10" ht="14.95" customHeight="1">
      <c r="A213" s="10" t="s">
        <v>1403</v>
      </c>
      <c r="B213" s="92">
        <f t="shared" si="27"/>
        <v>271.8</v>
      </c>
      <c r="C213" s="92">
        <f>('Цены на металл '!AA212*'Цены на металл '!$B$4*1.4)+'Цены на металл '!AB212</f>
        <v>302</v>
      </c>
      <c r="D213" s="92">
        <f t="shared" si="28"/>
        <v>332.20000000000005</v>
      </c>
      <c r="E213" s="92">
        <f t="shared" si="29"/>
        <v>362.4</v>
      </c>
      <c r="F213" s="92">
        <f t="shared" si="29"/>
        <v>398.64000000000004</v>
      </c>
      <c r="G213" s="92">
        <f t="shared" si="29"/>
        <v>434.87999999999994</v>
      </c>
      <c r="H213" s="124">
        <f t="shared" si="24"/>
        <v>604</v>
      </c>
      <c r="I213" s="124">
        <f t="shared" si="25"/>
        <v>664.40000000000009</v>
      </c>
      <c r="J213" s="125">
        <f t="shared" si="26"/>
        <v>906</v>
      </c>
    </row>
    <row r="214" spans="1:10" ht="14.95" customHeight="1">
      <c r="A214" s="10" t="s">
        <v>1404</v>
      </c>
      <c r="B214" s="92">
        <f t="shared" si="27"/>
        <v>250.66980000000001</v>
      </c>
      <c r="C214" s="92">
        <f>('Цены на металл '!AA213*'Цены на металл '!$B$4*1.4)+'Цены на металл '!AB213</f>
        <v>278.52199999999999</v>
      </c>
      <c r="D214" s="92">
        <f t="shared" si="28"/>
        <v>306.37420000000003</v>
      </c>
      <c r="E214" s="92">
        <f t="shared" si="29"/>
        <v>334.22639999999996</v>
      </c>
      <c r="F214" s="92">
        <f t="shared" si="29"/>
        <v>367.64904000000001</v>
      </c>
      <c r="G214" s="92">
        <f t="shared" si="29"/>
        <v>401.07167999999996</v>
      </c>
      <c r="H214" s="124">
        <f t="shared" si="24"/>
        <v>557.04399999999998</v>
      </c>
      <c r="I214" s="124">
        <f t="shared" si="25"/>
        <v>612.74840000000006</v>
      </c>
      <c r="J214" s="125">
        <f t="shared" si="26"/>
        <v>835.56600000000003</v>
      </c>
    </row>
    <row r="215" spans="1:10" ht="14.95" customHeight="1">
      <c r="A215" s="10" t="s">
        <v>1405</v>
      </c>
      <c r="B215" s="92">
        <f t="shared" si="27"/>
        <v>255.41999999999996</v>
      </c>
      <c r="C215" s="92">
        <f>('Цены на металл '!AA214*'Цены на металл '!$B$4*1.4)+'Цены на металл '!AB214</f>
        <v>283.79999999999995</v>
      </c>
      <c r="D215" s="92">
        <f t="shared" si="28"/>
        <v>312.17999999999995</v>
      </c>
      <c r="E215" s="92">
        <f t="shared" si="29"/>
        <v>340.55999999999995</v>
      </c>
      <c r="F215" s="92">
        <f t="shared" si="29"/>
        <v>374.61599999999993</v>
      </c>
      <c r="G215" s="92">
        <f t="shared" si="29"/>
        <v>408.67199999999991</v>
      </c>
      <c r="H215" s="124">
        <f t="shared" si="24"/>
        <v>567.59999999999991</v>
      </c>
      <c r="I215" s="124">
        <f t="shared" si="25"/>
        <v>624.3599999999999</v>
      </c>
      <c r="J215" s="125">
        <f t="shared" si="26"/>
        <v>851.39999999999986</v>
      </c>
    </row>
    <row r="216" spans="1:10" ht="14.95" customHeight="1">
      <c r="A216" s="10" t="s">
        <v>1406</v>
      </c>
      <c r="B216" s="92">
        <f t="shared" si="27"/>
        <v>259.51500000000004</v>
      </c>
      <c r="C216" s="92">
        <f>('Цены на металл '!AA215*'Цены на металл '!$B$4*1.4)+'Цены на металл '!AB215</f>
        <v>288.35000000000002</v>
      </c>
      <c r="D216" s="92">
        <f t="shared" si="28"/>
        <v>317.18500000000006</v>
      </c>
      <c r="E216" s="92">
        <f t="shared" si="29"/>
        <v>346.02000000000004</v>
      </c>
      <c r="F216" s="92">
        <f t="shared" si="29"/>
        <v>380.62200000000007</v>
      </c>
      <c r="G216" s="92">
        <f t="shared" si="29"/>
        <v>415.22400000000005</v>
      </c>
      <c r="H216" s="124">
        <f t="shared" si="24"/>
        <v>576.70000000000005</v>
      </c>
      <c r="I216" s="124">
        <f t="shared" si="25"/>
        <v>634.37000000000012</v>
      </c>
      <c r="J216" s="125">
        <f t="shared" si="26"/>
        <v>865.05000000000007</v>
      </c>
    </row>
    <row r="217" spans="1:10" ht="14.95" customHeight="1">
      <c r="A217" s="10" t="s">
        <v>1407</v>
      </c>
      <c r="B217" s="92">
        <f t="shared" si="27"/>
        <v>263.61</v>
      </c>
      <c r="C217" s="92">
        <f>('Цены на металл '!AA216*'Цены на металл '!$B$4*1.4)+'Цены на металл '!AB216</f>
        <v>292.89999999999998</v>
      </c>
      <c r="D217" s="92">
        <f t="shared" si="28"/>
        <v>322.19</v>
      </c>
      <c r="E217" s="92">
        <f t="shared" si="29"/>
        <v>351.47999999999996</v>
      </c>
      <c r="F217" s="92">
        <f t="shared" si="29"/>
        <v>386.62799999999999</v>
      </c>
      <c r="G217" s="92">
        <f t="shared" si="29"/>
        <v>421.77599999999995</v>
      </c>
      <c r="H217" s="124">
        <f t="shared" si="24"/>
        <v>585.79999999999995</v>
      </c>
      <c r="I217" s="124">
        <f t="shared" si="25"/>
        <v>644.38</v>
      </c>
      <c r="J217" s="125">
        <f t="shared" si="26"/>
        <v>878.69999999999993</v>
      </c>
    </row>
    <row r="218" spans="1:10" ht="14.95" customHeight="1">
      <c r="A218" s="10" t="s">
        <v>1408</v>
      </c>
      <c r="B218" s="92">
        <f t="shared" si="27"/>
        <v>274.33890000000002</v>
      </c>
      <c r="C218" s="92">
        <f>('Цены на металл '!AA217*'Цены на металл '!$B$4*1.4)+'Цены на металл '!AB217</f>
        <v>304.82100000000003</v>
      </c>
      <c r="D218" s="92">
        <f t="shared" si="28"/>
        <v>335.30310000000003</v>
      </c>
      <c r="E218" s="92">
        <f t="shared" si="29"/>
        <v>365.78520000000003</v>
      </c>
      <c r="F218" s="92">
        <f t="shared" si="29"/>
        <v>402.36372</v>
      </c>
      <c r="G218" s="92">
        <f t="shared" si="29"/>
        <v>438.94224000000003</v>
      </c>
      <c r="H218" s="124">
        <f t="shared" si="24"/>
        <v>609.64200000000005</v>
      </c>
      <c r="I218" s="124">
        <f t="shared" si="25"/>
        <v>670.60620000000006</v>
      </c>
      <c r="J218" s="125">
        <f t="shared" si="26"/>
        <v>914.46300000000008</v>
      </c>
    </row>
    <row r="219" spans="1:10" ht="14.95" customHeight="1">
      <c r="A219" s="10" t="s">
        <v>1409</v>
      </c>
      <c r="B219" s="92">
        <f t="shared" si="27"/>
        <v>288.18</v>
      </c>
      <c r="C219" s="92">
        <f>('Цены на металл '!AA218*'Цены на металл '!$B$4*1.4)+'Цены на металл '!AB218</f>
        <v>320.2</v>
      </c>
      <c r="D219" s="92">
        <f t="shared" si="28"/>
        <v>352.22</v>
      </c>
      <c r="E219" s="92">
        <f t="shared" si="29"/>
        <v>384.23999999999995</v>
      </c>
      <c r="F219" s="92">
        <f t="shared" si="29"/>
        <v>422.66400000000004</v>
      </c>
      <c r="G219" s="92">
        <f t="shared" si="29"/>
        <v>461.08799999999991</v>
      </c>
      <c r="H219" s="124">
        <f t="shared" si="24"/>
        <v>640.4</v>
      </c>
      <c r="I219" s="124">
        <f t="shared" si="25"/>
        <v>704.44</v>
      </c>
      <c r="J219" s="125">
        <f t="shared" si="26"/>
        <v>960.59999999999991</v>
      </c>
    </row>
    <row r="220" spans="1:10" ht="14.95" customHeight="1">
      <c r="A220" s="10" t="s">
        <v>1410</v>
      </c>
      <c r="B220" s="92">
        <f t="shared" si="27"/>
        <v>304.56</v>
      </c>
      <c r="C220" s="92">
        <f>('Цены на металл '!AA219*'Цены на металл '!$B$4*1.4)+'Цены на металл '!AB219</f>
        <v>338.4</v>
      </c>
      <c r="D220" s="92">
        <f t="shared" si="28"/>
        <v>372.24</v>
      </c>
      <c r="E220" s="92">
        <f t="shared" si="29"/>
        <v>406.08</v>
      </c>
      <c r="F220" s="92">
        <f t="shared" si="29"/>
        <v>446.68799999999999</v>
      </c>
      <c r="G220" s="92">
        <f t="shared" si="29"/>
        <v>487.29599999999994</v>
      </c>
      <c r="H220" s="124">
        <f t="shared" si="24"/>
        <v>676.8</v>
      </c>
      <c r="I220" s="124">
        <f t="shared" si="25"/>
        <v>744.48</v>
      </c>
      <c r="J220" s="125">
        <f t="shared" si="26"/>
        <v>1015.1999999999999</v>
      </c>
    </row>
    <row r="221" spans="1:10" ht="14.95" customHeight="1">
      <c r="A221" s="9" t="s">
        <v>1426</v>
      </c>
      <c r="B221" s="92">
        <f t="shared" si="27"/>
        <v>0</v>
      </c>
      <c r="C221" s="92">
        <f>('Цены на металл '!AA220*'Цены на металл '!$B$4*1.4)+'Цены на металл '!AB220</f>
        <v>0</v>
      </c>
      <c r="D221" s="92">
        <f t="shared" si="28"/>
        <v>0</v>
      </c>
      <c r="E221" s="92">
        <f t="shared" si="29"/>
        <v>0</v>
      </c>
      <c r="F221" s="92">
        <f t="shared" si="29"/>
        <v>0</v>
      </c>
      <c r="G221" s="92">
        <f t="shared" si="29"/>
        <v>0</v>
      </c>
      <c r="H221" s="124">
        <f t="shared" si="24"/>
        <v>0</v>
      </c>
      <c r="I221" s="124">
        <f t="shared" si="25"/>
        <v>0</v>
      </c>
      <c r="J221" s="125">
        <f t="shared" si="26"/>
        <v>0</v>
      </c>
    </row>
    <row r="222" spans="1:10" ht="14.95" customHeight="1">
      <c r="A222" s="10" t="s">
        <v>1411</v>
      </c>
      <c r="B222" s="92">
        <f t="shared" si="27"/>
        <v>35.431200000000004</v>
      </c>
      <c r="C222" s="92">
        <f>('Цены на металл '!AA221*'Цены на металл '!$B$4*1.4)+'Цены на металл '!AB221</f>
        <v>39.368000000000002</v>
      </c>
      <c r="D222" s="92">
        <f t="shared" si="28"/>
        <v>43.304800000000007</v>
      </c>
      <c r="E222" s="92">
        <f t="shared" si="29"/>
        <v>47.241599999999998</v>
      </c>
      <c r="F222" s="92">
        <f t="shared" si="29"/>
        <v>51.96576000000001</v>
      </c>
      <c r="G222" s="92">
        <f t="shared" si="29"/>
        <v>56.689919999999994</v>
      </c>
      <c r="H222" s="124">
        <f t="shared" si="24"/>
        <v>78.736000000000004</v>
      </c>
      <c r="I222" s="124">
        <f t="shared" si="25"/>
        <v>86.609600000000015</v>
      </c>
      <c r="J222" s="125">
        <f t="shared" si="26"/>
        <v>118.10400000000001</v>
      </c>
    </row>
    <row r="223" spans="1:10" ht="14.95" customHeight="1">
      <c r="A223" s="10" t="s">
        <v>1412</v>
      </c>
      <c r="B223" s="92">
        <f t="shared" si="27"/>
        <v>37.233000000000004</v>
      </c>
      <c r="C223" s="92">
        <f>('Цены на металл '!AA222*'Цены на металл '!$B$4*1.4)+'Цены на металл '!AB222</f>
        <v>41.370000000000005</v>
      </c>
      <c r="D223" s="92">
        <f t="shared" si="28"/>
        <v>45.507000000000012</v>
      </c>
      <c r="E223" s="92">
        <f t="shared" si="29"/>
        <v>49.644000000000005</v>
      </c>
      <c r="F223" s="92">
        <f t="shared" si="29"/>
        <v>54.60840000000001</v>
      </c>
      <c r="G223" s="92">
        <f t="shared" si="29"/>
        <v>59.572800000000001</v>
      </c>
      <c r="H223" s="124">
        <f t="shared" si="24"/>
        <v>82.740000000000009</v>
      </c>
      <c r="I223" s="124">
        <f t="shared" si="25"/>
        <v>91.014000000000024</v>
      </c>
      <c r="J223" s="125">
        <f t="shared" si="26"/>
        <v>124.11000000000001</v>
      </c>
    </row>
    <row r="224" spans="1:10" ht="14.95" customHeight="1">
      <c r="A224" s="10" t="s">
        <v>1413</v>
      </c>
      <c r="B224" s="92">
        <f t="shared" si="27"/>
        <v>40.427099999999996</v>
      </c>
      <c r="C224" s="92">
        <f>('Цены на металл '!AA223*'Цены на металл '!$B$4*1.4)+'Цены на металл '!AB223</f>
        <v>44.918999999999997</v>
      </c>
      <c r="D224" s="92">
        <f t="shared" si="28"/>
        <v>49.410899999999998</v>
      </c>
      <c r="E224" s="92">
        <f t="shared" si="29"/>
        <v>53.902799999999992</v>
      </c>
      <c r="F224" s="92">
        <f t="shared" si="29"/>
        <v>59.293079999999996</v>
      </c>
      <c r="G224" s="92">
        <f t="shared" si="29"/>
        <v>64.683359999999993</v>
      </c>
      <c r="H224" s="124">
        <f t="shared" si="24"/>
        <v>89.837999999999994</v>
      </c>
      <c r="I224" s="124">
        <f t="shared" si="25"/>
        <v>98.821799999999996</v>
      </c>
      <c r="J224" s="125">
        <f t="shared" si="26"/>
        <v>134.75700000000001</v>
      </c>
    </row>
    <row r="225" spans="1:10" ht="14.95" customHeight="1">
      <c r="A225" s="10" t="s">
        <v>1414</v>
      </c>
      <c r="B225" s="92">
        <f t="shared" si="27"/>
        <v>43.948799999999999</v>
      </c>
      <c r="C225" s="92">
        <f>('Цены на металл '!AA224*'Цены на металл '!$B$4*1.4)+'Цены на металл '!AB224</f>
        <v>48.831999999999994</v>
      </c>
      <c r="D225" s="92">
        <f t="shared" si="28"/>
        <v>53.715199999999996</v>
      </c>
      <c r="E225" s="92">
        <f t="shared" si="29"/>
        <v>58.598399999999991</v>
      </c>
      <c r="F225" s="92">
        <f t="shared" si="29"/>
        <v>64.458239999999989</v>
      </c>
      <c r="G225" s="92">
        <f t="shared" si="29"/>
        <v>70.318079999999981</v>
      </c>
      <c r="H225" s="124">
        <f t="shared" si="24"/>
        <v>97.663999999999987</v>
      </c>
      <c r="I225" s="124">
        <f t="shared" si="25"/>
        <v>107.43039999999999</v>
      </c>
      <c r="J225" s="125">
        <f t="shared" si="26"/>
        <v>146.49599999999998</v>
      </c>
    </row>
    <row r="226" spans="1:10" ht="14.95" customHeight="1">
      <c r="A226" s="10" t="s">
        <v>1415</v>
      </c>
      <c r="B226" s="92">
        <f t="shared" si="27"/>
        <v>47.388599999999997</v>
      </c>
      <c r="C226" s="92">
        <f>('Цены на металл '!AA225*'Цены на металл '!$B$4*1.4)+'Цены на металл '!AB225</f>
        <v>52.653999999999996</v>
      </c>
      <c r="D226" s="92">
        <f t="shared" si="28"/>
        <v>57.919400000000003</v>
      </c>
      <c r="E226" s="92">
        <f t="shared" si="29"/>
        <v>63.184799999999996</v>
      </c>
      <c r="F226" s="92">
        <f t="shared" si="29"/>
        <v>69.503280000000004</v>
      </c>
      <c r="G226" s="92">
        <f t="shared" si="29"/>
        <v>75.821759999999998</v>
      </c>
      <c r="H226" s="124">
        <f t="shared" si="24"/>
        <v>105.30799999999999</v>
      </c>
      <c r="I226" s="124">
        <f t="shared" si="25"/>
        <v>115.83880000000001</v>
      </c>
      <c r="J226" s="125">
        <f t="shared" si="26"/>
        <v>157.96199999999999</v>
      </c>
    </row>
    <row r="227" spans="1:10" ht="14.95" customHeight="1">
      <c r="A227" s="10" t="s">
        <v>1416</v>
      </c>
      <c r="B227" s="92">
        <f t="shared" si="27"/>
        <v>47.88</v>
      </c>
      <c r="C227" s="92">
        <f>('Цены на металл '!AA226*'Цены на металл '!$B$4*1.4)+'Цены на металл '!AB226</f>
        <v>53.2</v>
      </c>
      <c r="D227" s="92">
        <f t="shared" si="28"/>
        <v>58.52000000000001</v>
      </c>
      <c r="E227" s="92">
        <f t="shared" si="29"/>
        <v>63.84</v>
      </c>
      <c r="F227" s="92">
        <f t="shared" si="29"/>
        <v>70.224000000000004</v>
      </c>
      <c r="G227" s="92">
        <f t="shared" si="29"/>
        <v>76.608000000000004</v>
      </c>
      <c r="H227" s="124">
        <f t="shared" si="24"/>
        <v>106.4</v>
      </c>
      <c r="I227" s="124">
        <f t="shared" si="25"/>
        <v>117.04000000000002</v>
      </c>
      <c r="J227" s="125">
        <f t="shared" si="26"/>
        <v>159.60000000000002</v>
      </c>
    </row>
    <row r="228" spans="1:10" ht="14.95" customHeight="1">
      <c r="A228" s="10" t="s">
        <v>1417</v>
      </c>
      <c r="B228" s="92">
        <f t="shared" si="27"/>
        <v>54.2682</v>
      </c>
      <c r="C228" s="92">
        <f>('Цены на металл '!AA227*'Цены на металл '!$B$4*1.4)+'Цены на металл '!AB227</f>
        <v>60.298000000000002</v>
      </c>
      <c r="D228" s="92">
        <f t="shared" si="28"/>
        <v>66.327800000000011</v>
      </c>
      <c r="E228" s="92">
        <f t="shared" si="29"/>
        <v>72.357600000000005</v>
      </c>
      <c r="F228" s="92">
        <f t="shared" si="29"/>
        <v>79.593360000000004</v>
      </c>
      <c r="G228" s="92">
        <f t="shared" si="29"/>
        <v>86.829120000000003</v>
      </c>
      <c r="H228" s="124">
        <f t="shared" si="24"/>
        <v>120.596</v>
      </c>
      <c r="I228" s="124">
        <f t="shared" si="25"/>
        <v>132.65560000000002</v>
      </c>
      <c r="J228" s="125">
        <f t="shared" si="26"/>
        <v>180.89400000000001</v>
      </c>
    </row>
    <row r="229" spans="1:10" ht="14.95" customHeight="1">
      <c r="A229" s="10" t="s">
        <v>1418</v>
      </c>
      <c r="B229" s="92">
        <f t="shared" si="27"/>
        <v>61.147799999999997</v>
      </c>
      <c r="C229" s="92">
        <f>('Цены на металл '!AA228*'Цены на металл '!$B$4*1.4)+'Цены на металл '!AB228</f>
        <v>67.941999999999993</v>
      </c>
      <c r="D229" s="92">
        <f t="shared" si="28"/>
        <v>74.736199999999997</v>
      </c>
      <c r="E229" s="92">
        <f t="shared" si="29"/>
        <v>81.530399999999986</v>
      </c>
      <c r="F229" s="92">
        <f t="shared" si="29"/>
        <v>89.68343999999999</v>
      </c>
      <c r="G229" s="92">
        <f t="shared" si="29"/>
        <v>97.83647999999998</v>
      </c>
      <c r="H229" s="124">
        <f t="shared" si="24"/>
        <v>135.88399999999999</v>
      </c>
      <c r="I229" s="124">
        <f t="shared" si="25"/>
        <v>149.47239999999999</v>
      </c>
      <c r="J229" s="125">
        <f t="shared" si="26"/>
        <v>203.82599999999996</v>
      </c>
    </row>
    <row r="230" spans="1:10" ht="14.95" customHeight="1">
      <c r="A230" s="10" t="s">
        <v>1419</v>
      </c>
      <c r="B230" s="92">
        <f t="shared" si="27"/>
        <v>68.10929999999999</v>
      </c>
      <c r="C230" s="92">
        <f>('Цены на металл '!AA229*'Цены на металл '!$B$4*1.4)+'Цены на металл '!AB229</f>
        <v>75.676999999999992</v>
      </c>
      <c r="D230" s="92">
        <f t="shared" si="28"/>
        <v>83.244699999999995</v>
      </c>
      <c r="E230" s="92">
        <f t="shared" si="29"/>
        <v>90.812399999999982</v>
      </c>
      <c r="F230" s="92">
        <f t="shared" si="29"/>
        <v>99.893639999999991</v>
      </c>
      <c r="G230" s="92">
        <f t="shared" si="29"/>
        <v>108.97487999999997</v>
      </c>
      <c r="H230" s="124">
        <f t="shared" si="24"/>
        <v>151.35399999999998</v>
      </c>
      <c r="I230" s="124">
        <f t="shared" si="25"/>
        <v>166.48939999999999</v>
      </c>
      <c r="J230" s="125">
        <f t="shared" si="26"/>
        <v>227.03099999999998</v>
      </c>
    </row>
    <row r="231" spans="1:10" ht="14.95" customHeight="1">
      <c r="A231" s="9" t="s">
        <v>1537</v>
      </c>
      <c r="B231" s="92">
        <f t="shared" si="27"/>
        <v>0</v>
      </c>
      <c r="C231" s="92">
        <f>('Цены на металл '!AA230*'Цены на металл '!$B$4*1.4)+'Цены на металл '!AB230</f>
        <v>0</v>
      </c>
      <c r="D231" s="92">
        <f t="shared" si="28"/>
        <v>0</v>
      </c>
      <c r="E231" s="92">
        <f t="shared" si="29"/>
        <v>0</v>
      </c>
      <c r="F231" s="92">
        <f t="shared" si="29"/>
        <v>0</v>
      </c>
      <c r="G231" s="92">
        <f t="shared" si="29"/>
        <v>0</v>
      </c>
      <c r="H231" s="124">
        <f t="shared" si="24"/>
        <v>0</v>
      </c>
      <c r="I231" s="124">
        <f t="shared" si="25"/>
        <v>0</v>
      </c>
      <c r="J231" s="125">
        <f t="shared" si="26"/>
        <v>0</v>
      </c>
    </row>
    <row r="232" spans="1:10" ht="14.95" customHeight="1">
      <c r="A232" s="10" t="s">
        <v>1427</v>
      </c>
      <c r="B232" s="92">
        <f t="shared" si="27"/>
        <v>123.56099999999999</v>
      </c>
      <c r="C232" s="92">
        <f>('Цены на металл '!AA231*'Цены на металл '!$B$4*1.4)+'Цены на металл '!AB231</f>
        <v>137.29</v>
      </c>
      <c r="D232" s="92">
        <f t="shared" si="28"/>
        <v>151.01900000000001</v>
      </c>
      <c r="E232" s="92">
        <f t="shared" si="29"/>
        <v>164.74799999999999</v>
      </c>
      <c r="F232" s="92">
        <f t="shared" si="29"/>
        <v>181.22280000000001</v>
      </c>
      <c r="G232" s="92">
        <f t="shared" si="29"/>
        <v>197.69759999999999</v>
      </c>
      <c r="H232" s="124">
        <f t="shared" si="24"/>
        <v>274.58</v>
      </c>
      <c r="I232" s="124">
        <f t="shared" si="25"/>
        <v>302.03800000000001</v>
      </c>
      <c r="J232" s="125">
        <f t="shared" si="26"/>
        <v>411.87</v>
      </c>
    </row>
    <row r="233" spans="1:10" ht="14.95" customHeight="1">
      <c r="A233" s="10" t="s">
        <v>1428</v>
      </c>
      <c r="B233" s="92">
        <f t="shared" si="27"/>
        <v>126.59130000000002</v>
      </c>
      <c r="C233" s="92">
        <f>('Цены на металл '!AA232*'Цены на металл '!$B$4*1.4)+'Цены на металл '!AB232</f>
        <v>140.65700000000001</v>
      </c>
      <c r="D233" s="92">
        <f t="shared" si="28"/>
        <v>154.72270000000003</v>
      </c>
      <c r="E233" s="92">
        <f t="shared" si="29"/>
        <v>168.7884</v>
      </c>
      <c r="F233" s="92">
        <f t="shared" si="29"/>
        <v>185.66724000000002</v>
      </c>
      <c r="G233" s="92">
        <f t="shared" si="29"/>
        <v>202.54607999999999</v>
      </c>
      <c r="H233" s="124">
        <f t="shared" si="24"/>
        <v>281.31400000000002</v>
      </c>
      <c r="I233" s="124">
        <f t="shared" si="25"/>
        <v>309.44540000000006</v>
      </c>
      <c r="J233" s="125">
        <f t="shared" si="26"/>
        <v>421.971</v>
      </c>
    </row>
    <row r="234" spans="1:10" ht="14.95" customHeight="1">
      <c r="A234" s="10" t="s">
        <v>1429</v>
      </c>
      <c r="B234" s="92">
        <f t="shared" si="27"/>
        <v>127.41030000000001</v>
      </c>
      <c r="C234" s="92">
        <f>('Цены на металл '!AA233*'Цены на металл '!$B$4*1.4)+'Цены на металл '!AB233</f>
        <v>141.56700000000001</v>
      </c>
      <c r="D234" s="92">
        <f t="shared" si="28"/>
        <v>155.72370000000001</v>
      </c>
      <c r="E234" s="92">
        <f t="shared" si="29"/>
        <v>169.88040000000001</v>
      </c>
      <c r="F234" s="92">
        <f t="shared" si="29"/>
        <v>186.86843999999999</v>
      </c>
      <c r="G234" s="92">
        <f t="shared" si="29"/>
        <v>203.85648</v>
      </c>
      <c r="H234" s="124">
        <f t="shared" si="24"/>
        <v>283.13400000000001</v>
      </c>
      <c r="I234" s="124">
        <f t="shared" si="25"/>
        <v>311.44740000000002</v>
      </c>
      <c r="J234" s="125">
        <f t="shared" si="26"/>
        <v>424.70100000000002</v>
      </c>
    </row>
    <row r="235" spans="1:10" ht="14.95" customHeight="1">
      <c r="A235" s="10" t="s">
        <v>1430</v>
      </c>
      <c r="B235" s="92">
        <f t="shared" si="27"/>
        <v>124.62570000000001</v>
      </c>
      <c r="C235" s="92">
        <f>('Цены на металл '!AA234*'Цены на металл '!$B$4*1.4)+'Цены на металл '!AB234</f>
        <v>138.47300000000001</v>
      </c>
      <c r="D235" s="92">
        <f t="shared" si="28"/>
        <v>152.32030000000003</v>
      </c>
      <c r="E235" s="92">
        <f t="shared" si="29"/>
        <v>166.16760000000002</v>
      </c>
      <c r="F235" s="92">
        <f t="shared" si="29"/>
        <v>182.78436000000002</v>
      </c>
      <c r="G235" s="92">
        <f t="shared" si="29"/>
        <v>199.40112000000002</v>
      </c>
      <c r="H235" s="124">
        <f t="shared" si="24"/>
        <v>276.94600000000003</v>
      </c>
      <c r="I235" s="124">
        <f t="shared" si="25"/>
        <v>304.64060000000006</v>
      </c>
      <c r="J235" s="125">
        <f t="shared" si="26"/>
        <v>415.41900000000004</v>
      </c>
    </row>
    <row r="236" spans="1:10" ht="14.95" customHeight="1">
      <c r="A236" s="10" t="s">
        <v>1431</v>
      </c>
      <c r="B236" s="92">
        <f t="shared" si="27"/>
        <v>131.50530000000001</v>
      </c>
      <c r="C236" s="92">
        <f>('Цены на металл '!AA235*'Цены на металл '!$B$4*1.4)+'Цены на металл '!AB235</f>
        <v>146.11699999999999</v>
      </c>
      <c r="D236" s="92">
        <f t="shared" si="28"/>
        <v>160.7287</v>
      </c>
      <c r="E236" s="92">
        <f t="shared" si="29"/>
        <v>175.34039999999999</v>
      </c>
      <c r="F236" s="92">
        <f t="shared" si="29"/>
        <v>192.87443999999999</v>
      </c>
      <c r="G236" s="92">
        <f t="shared" si="29"/>
        <v>210.40847999999997</v>
      </c>
      <c r="H236" s="124">
        <f t="shared" si="24"/>
        <v>292.23399999999998</v>
      </c>
      <c r="I236" s="124">
        <f t="shared" si="25"/>
        <v>321.45740000000001</v>
      </c>
      <c r="J236" s="125">
        <f t="shared" si="26"/>
        <v>438.351</v>
      </c>
    </row>
    <row r="237" spans="1:10" ht="14.95" customHeight="1">
      <c r="A237" s="10" t="s">
        <v>1432</v>
      </c>
      <c r="B237" s="92">
        <f t="shared" si="27"/>
        <v>133.4709</v>
      </c>
      <c r="C237" s="92">
        <f>('Цены на металл '!AA236*'Цены на металл '!$B$4*1.4)+'Цены на металл '!AB236</f>
        <v>148.30099999999999</v>
      </c>
      <c r="D237" s="92">
        <f t="shared" si="28"/>
        <v>163.1311</v>
      </c>
      <c r="E237" s="92">
        <f t="shared" si="29"/>
        <v>177.96119999999999</v>
      </c>
      <c r="F237" s="92">
        <f t="shared" si="29"/>
        <v>195.75731999999999</v>
      </c>
      <c r="G237" s="92">
        <f t="shared" si="29"/>
        <v>213.55343999999999</v>
      </c>
      <c r="H237" s="124">
        <f t="shared" si="24"/>
        <v>296.60199999999998</v>
      </c>
      <c r="I237" s="124">
        <f t="shared" si="25"/>
        <v>326.26220000000001</v>
      </c>
      <c r="J237" s="125">
        <f t="shared" si="26"/>
        <v>444.90299999999996</v>
      </c>
    </row>
    <row r="238" spans="1:10" ht="14.95" customHeight="1">
      <c r="A238" s="10" t="s">
        <v>1433</v>
      </c>
      <c r="B238" s="92">
        <f t="shared" si="27"/>
        <v>134.4537</v>
      </c>
      <c r="C238" s="92">
        <f>('Цены на металл '!AA237*'Цены на металл '!$B$4*1.4)+'Цены на металл '!AB237</f>
        <v>149.393</v>
      </c>
      <c r="D238" s="92">
        <f t="shared" si="28"/>
        <v>164.3323</v>
      </c>
      <c r="E238" s="92">
        <f t="shared" si="29"/>
        <v>179.27160000000001</v>
      </c>
      <c r="F238" s="92">
        <f t="shared" si="29"/>
        <v>197.19875999999999</v>
      </c>
      <c r="G238" s="92">
        <f t="shared" si="29"/>
        <v>215.12592000000001</v>
      </c>
      <c r="H238" s="124">
        <f t="shared" si="24"/>
        <v>298.786</v>
      </c>
      <c r="I238" s="124">
        <f t="shared" si="25"/>
        <v>328.66460000000001</v>
      </c>
      <c r="J238" s="125">
        <f t="shared" si="26"/>
        <v>448.17899999999997</v>
      </c>
    </row>
    <row r="239" spans="1:10" ht="14.95" customHeight="1">
      <c r="A239" s="10" t="s">
        <v>1434</v>
      </c>
      <c r="B239" s="92">
        <f t="shared" si="27"/>
        <v>143.62649999999999</v>
      </c>
      <c r="C239" s="92">
        <f>('Цены на металл '!AA238*'Цены на металл '!$B$4*1.4)+'Цены на металл '!AB238</f>
        <v>159.58499999999998</v>
      </c>
      <c r="D239" s="92">
        <f t="shared" si="28"/>
        <v>175.54349999999999</v>
      </c>
      <c r="E239" s="92">
        <f t="shared" si="29"/>
        <v>191.50199999999998</v>
      </c>
      <c r="F239" s="92">
        <f t="shared" si="29"/>
        <v>210.65219999999999</v>
      </c>
      <c r="G239" s="92">
        <f t="shared" si="29"/>
        <v>229.80239999999998</v>
      </c>
      <c r="H239" s="124">
        <f t="shared" si="24"/>
        <v>319.16999999999996</v>
      </c>
      <c r="I239" s="124">
        <f t="shared" si="25"/>
        <v>351.08699999999999</v>
      </c>
      <c r="J239" s="125">
        <f t="shared" si="26"/>
        <v>478.75499999999994</v>
      </c>
    </row>
    <row r="240" spans="1:10" ht="14.95" customHeight="1">
      <c r="A240" s="10" t="s">
        <v>1435</v>
      </c>
      <c r="B240" s="92">
        <f t="shared" si="27"/>
        <v>153.12690000000003</v>
      </c>
      <c r="C240" s="92">
        <f>('Цены на металл '!AA239*'Цены на металл '!$B$4*1.4)+'Цены на металл '!AB239</f>
        <v>170.14100000000002</v>
      </c>
      <c r="D240" s="92">
        <f t="shared" si="28"/>
        <v>187.15510000000003</v>
      </c>
      <c r="E240" s="92">
        <f t="shared" si="29"/>
        <v>204.16920000000002</v>
      </c>
      <c r="F240" s="92">
        <f t="shared" si="29"/>
        <v>224.58612000000002</v>
      </c>
      <c r="G240" s="92">
        <f t="shared" si="29"/>
        <v>245.00304</v>
      </c>
      <c r="H240" s="124">
        <f t="shared" si="24"/>
        <v>340.28200000000004</v>
      </c>
      <c r="I240" s="124">
        <f t="shared" si="25"/>
        <v>374.31020000000007</v>
      </c>
      <c r="J240" s="125">
        <f t="shared" si="26"/>
        <v>510.42300000000006</v>
      </c>
    </row>
    <row r="241" spans="1:10" ht="14.95" customHeight="1">
      <c r="A241" s="10" t="s">
        <v>1436</v>
      </c>
      <c r="B241" s="92">
        <f t="shared" si="27"/>
        <v>135.846</v>
      </c>
      <c r="C241" s="92">
        <f>('Цены на металл '!AA240*'Цены на металл '!$B$4*1.4)+'Цены на металл '!AB240</f>
        <v>150.94</v>
      </c>
      <c r="D241" s="92">
        <f t="shared" si="28"/>
        <v>166.03400000000002</v>
      </c>
      <c r="E241" s="92">
        <f t="shared" si="29"/>
        <v>181.12799999999999</v>
      </c>
      <c r="F241" s="92">
        <f t="shared" si="29"/>
        <v>199.24080000000001</v>
      </c>
      <c r="G241" s="92">
        <f t="shared" si="29"/>
        <v>217.35359999999997</v>
      </c>
      <c r="H241" s="124">
        <f t="shared" si="24"/>
        <v>301.88</v>
      </c>
      <c r="I241" s="124">
        <f t="shared" si="25"/>
        <v>332.06800000000004</v>
      </c>
      <c r="J241" s="125">
        <f t="shared" si="26"/>
        <v>452.82</v>
      </c>
    </row>
    <row r="242" spans="1:10" ht="14.95" customHeight="1">
      <c r="A242" s="10" t="s">
        <v>1437</v>
      </c>
      <c r="B242" s="92">
        <f t="shared" si="27"/>
        <v>149.60520000000002</v>
      </c>
      <c r="C242" s="92">
        <f>('Цены на металл '!AA241*'Цены на металл '!$B$4*1.4)+'Цены на металл '!AB241</f>
        <v>166.22800000000001</v>
      </c>
      <c r="D242" s="92">
        <f t="shared" si="28"/>
        <v>182.85080000000002</v>
      </c>
      <c r="E242" s="92">
        <f t="shared" si="29"/>
        <v>199.4736</v>
      </c>
      <c r="F242" s="92">
        <f t="shared" si="29"/>
        <v>219.42096000000001</v>
      </c>
      <c r="G242" s="92">
        <f t="shared" si="29"/>
        <v>239.36831999999998</v>
      </c>
      <c r="H242" s="124">
        <f t="shared" si="24"/>
        <v>332.45600000000002</v>
      </c>
      <c r="I242" s="124">
        <f t="shared" si="25"/>
        <v>365.70160000000004</v>
      </c>
      <c r="J242" s="125">
        <f t="shared" si="26"/>
        <v>498.68400000000003</v>
      </c>
    </row>
    <row r="243" spans="1:10" ht="14.95" customHeight="1">
      <c r="A243" s="10" t="s">
        <v>1438</v>
      </c>
      <c r="B243" s="92">
        <f t="shared" si="27"/>
        <v>159.76080000000002</v>
      </c>
      <c r="C243" s="92">
        <f>('Цены на металл '!AA242*'Цены на металл '!$B$4*1.4)+'Цены на металл '!AB242</f>
        <v>177.512</v>
      </c>
      <c r="D243" s="92">
        <f t="shared" si="28"/>
        <v>195.26320000000001</v>
      </c>
      <c r="E243" s="92">
        <f t="shared" si="29"/>
        <v>213.01439999999999</v>
      </c>
      <c r="F243" s="92">
        <f t="shared" si="29"/>
        <v>234.31584000000001</v>
      </c>
      <c r="G243" s="92">
        <f t="shared" si="29"/>
        <v>255.61727999999999</v>
      </c>
      <c r="H243" s="124">
        <f t="shared" si="24"/>
        <v>355.024</v>
      </c>
      <c r="I243" s="124">
        <f t="shared" si="25"/>
        <v>390.52640000000002</v>
      </c>
      <c r="J243" s="125">
        <f t="shared" si="26"/>
        <v>532.53600000000006</v>
      </c>
    </row>
    <row r="244" spans="1:10" ht="14.95" customHeight="1">
      <c r="A244" s="10" t="s">
        <v>1439</v>
      </c>
      <c r="B244" s="92">
        <f t="shared" si="27"/>
        <v>189.98190000000002</v>
      </c>
      <c r="C244" s="92">
        <f>('Цены на металл '!AA243*'Цены на металл '!$B$4*1.4)+'Цены на металл '!AB243</f>
        <v>211.09100000000001</v>
      </c>
      <c r="D244" s="92">
        <f t="shared" si="28"/>
        <v>232.20010000000002</v>
      </c>
      <c r="E244" s="92">
        <f t="shared" si="29"/>
        <v>253.3092</v>
      </c>
      <c r="F244" s="92">
        <f t="shared" si="29"/>
        <v>278.64012000000002</v>
      </c>
      <c r="G244" s="92">
        <f t="shared" si="29"/>
        <v>303.97104000000002</v>
      </c>
      <c r="H244" s="124">
        <f t="shared" si="24"/>
        <v>422.18200000000002</v>
      </c>
      <c r="I244" s="124">
        <f t="shared" si="25"/>
        <v>464.40020000000004</v>
      </c>
      <c r="J244" s="125">
        <f t="shared" si="26"/>
        <v>633.27300000000002</v>
      </c>
    </row>
    <row r="245" spans="1:10" ht="14.95" customHeight="1">
      <c r="A245" s="10" t="s">
        <v>1440</v>
      </c>
      <c r="B245" s="92">
        <f t="shared" si="27"/>
        <v>141.33329999999998</v>
      </c>
      <c r="C245" s="92">
        <f>('Цены на металл '!AA244*'Цены на металл '!$B$4*1.4)+'Цены на металл '!AB244</f>
        <v>157.03699999999998</v>
      </c>
      <c r="D245" s="92">
        <f t="shared" si="28"/>
        <v>172.74069999999998</v>
      </c>
      <c r="E245" s="92">
        <f t="shared" si="29"/>
        <v>188.44439999999997</v>
      </c>
      <c r="F245" s="92">
        <f t="shared" si="29"/>
        <v>207.28883999999996</v>
      </c>
      <c r="G245" s="92">
        <f t="shared" si="29"/>
        <v>226.13327999999996</v>
      </c>
      <c r="H245" s="124">
        <f t="shared" si="24"/>
        <v>314.07399999999996</v>
      </c>
      <c r="I245" s="124">
        <f t="shared" si="25"/>
        <v>345.48139999999995</v>
      </c>
      <c r="J245" s="125">
        <f t="shared" si="26"/>
        <v>471.11099999999993</v>
      </c>
    </row>
    <row r="246" spans="1:10" ht="14.95" customHeight="1">
      <c r="A246" s="10" t="s">
        <v>1441</v>
      </c>
      <c r="B246" s="92">
        <f t="shared" si="27"/>
        <v>144.85499999999999</v>
      </c>
      <c r="C246" s="92">
        <f>('Цены на металл '!AA245*'Цены на металл '!$B$4*1.4)+'Цены на металл '!AB245</f>
        <v>160.94999999999999</v>
      </c>
      <c r="D246" s="92">
        <f t="shared" si="28"/>
        <v>177.04500000000002</v>
      </c>
      <c r="E246" s="92">
        <f t="shared" si="29"/>
        <v>193.14</v>
      </c>
      <c r="F246" s="92">
        <f t="shared" si="29"/>
        <v>212.45400000000001</v>
      </c>
      <c r="G246" s="92">
        <f t="shared" si="29"/>
        <v>231.76799999999997</v>
      </c>
      <c r="H246" s="124">
        <f t="shared" ref="H246:H309" si="30">C246*2</f>
        <v>321.89999999999998</v>
      </c>
      <c r="I246" s="124">
        <f t="shared" ref="I246:I309" si="31">D246*2</f>
        <v>354.09000000000003</v>
      </c>
      <c r="J246" s="125">
        <f t="shared" ref="J246:J309" si="32">C246*3</f>
        <v>482.84999999999997</v>
      </c>
    </row>
    <row r="247" spans="1:10" ht="14.95" customHeight="1">
      <c r="A247" s="10" t="s">
        <v>1442</v>
      </c>
      <c r="B247" s="92">
        <f t="shared" si="27"/>
        <v>145.83780000000002</v>
      </c>
      <c r="C247" s="92">
        <f>('Цены на металл '!AA246*'Цены на металл '!$B$4*1.4)+'Цены на металл '!AB246</f>
        <v>162.042</v>
      </c>
      <c r="D247" s="92">
        <f t="shared" si="28"/>
        <v>178.24620000000002</v>
      </c>
      <c r="E247" s="92">
        <f t="shared" si="29"/>
        <v>194.4504</v>
      </c>
      <c r="F247" s="92">
        <f t="shared" si="29"/>
        <v>213.89544000000001</v>
      </c>
      <c r="G247" s="92">
        <f t="shared" si="29"/>
        <v>233.34047999999999</v>
      </c>
      <c r="H247" s="124">
        <f t="shared" si="30"/>
        <v>324.084</v>
      </c>
      <c r="I247" s="124">
        <f t="shared" si="31"/>
        <v>356.49240000000003</v>
      </c>
      <c r="J247" s="125">
        <f t="shared" si="32"/>
        <v>486.12599999999998</v>
      </c>
    </row>
    <row r="248" spans="1:10" ht="14.95" customHeight="1">
      <c r="A248" s="10" t="s">
        <v>1443</v>
      </c>
      <c r="B248" s="92">
        <f t="shared" si="27"/>
        <v>154.8468</v>
      </c>
      <c r="C248" s="92">
        <f>('Цены на металл '!AA247*'Цены на металл '!$B$4*1.4)+'Цены на металл '!AB247</f>
        <v>172.05199999999999</v>
      </c>
      <c r="D248" s="92">
        <f t="shared" si="28"/>
        <v>189.25720000000001</v>
      </c>
      <c r="E248" s="92">
        <f t="shared" si="29"/>
        <v>206.46239999999997</v>
      </c>
      <c r="F248" s="92">
        <f t="shared" si="29"/>
        <v>227.10864000000001</v>
      </c>
      <c r="G248" s="92">
        <f t="shared" si="29"/>
        <v>247.75487999999996</v>
      </c>
      <c r="H248" s="124">
        <f t="shared" si="30"/>
        <v>344.10399999999998</v>
      </c>
      <c r="I248" s="124">
        <f t="shared" si="31"/>
        <v>378.51440000000002</v>
      </c>
      <c r="J248" s="125">
        <f t="shared" si="32"/>
        <v>516.15599999999995</v>
      </c>
    </row>
    <row r="249" spans="1:10" ht="14.95" customHeight="1">
      <c r="A249" s="10" t="s">
        <v>1444</v>
      </c>
      <c r="B249" s="92">
        <f t="shared" si="27"/>
        <v>166.3947</v>
      </c>
      <c r="C249" s="92">
        <f>('Цены на металл '!AA248*'Цены на металл '!$B$4*1.4)+'Цены на металл '!AB248</f>
        <v>184.88299999999998</v>
      </c>
      <c r="D249" s="92">
        <f t="shared" si="28"/>
        <v>203.37129999999999</v>
      </c>
      <c r="E249" s="92">
        <f t="shared" si="29"/>
        <v>221.85959999999997</v>
      </c>
      <c r="F249" s="92">
        <f t="shared" si="29"/>
        <v>244.04555999999997</v>
      </c>
      <c r="G249" s="92">
        <f t="shared" si="29"/>
        <v>266.23151999999993</v>
      </c>
      <c r="H249" s="124">
        <f t="shared" si="30"/>
        <v>369.76599999999996</v>
      </c>
      <c r="I249" s="124">
        <f t="shared" si="31"/>
        <v>406.74259999999998</v>
      </c>
      <c r="J249" s="125">
        <f t="shared" si="32"/>
        <v>554.64899999999989</v>
      </c>
    </row>
    <row r="250" spans="1:10" ht="14.95" customHeight="1">
      <c r="A250" s="10" t="s">
        <v>1445</v>
      </c>
      <c r="B250" s="92">
        <f t="shared" si="27"/>
        <v>198.3357</v>
      </c>
      <c r="C250" s="92">
        <f>('Цены на металл '!AA249*'Цены на металл '!$B$4*1.4)+'Цены на металл '!AB249</f>
        <v>220.37299999999999</v>
      </c>
      <c r="D250" s="92">
        <f t="shared" si="28"/>
        <v>242.41030000000001</v>
      </c>
      <c r="E250" s="92">
        <f t="shared" si="29"/>
        <v>264.44759999999997</v>
      </c>
      <c r="F250" s="92">
        <f t="shared" si="29"/>
        <v>290.89236</v>
      </c>
      <c r="G250" s="92">
        <f t="shared" si="29"/>
        <v>317.33711999999997</v>
      </c>
      <c r="H250" s="124">
        <f t="shared" si="30"/>
        <v>440.74599999999998</v>
      </c>
      <c r="I250" s="124">
        <f t="shared" si="31"/>
        <v>484.82060000000001</v>
      </c>
      <c r="J250" s="125">
        <f t="shared" si="32"/>
        <v>661.11899999999991</v>
      </c>
    </row>
    <row r="251" spans="1:10" ht="14.95" customHeight="1">
      <c r="A251" s="10" t="s">
        <v>1446</v>
      </c>
      <c r="B251" s="92">
        <f t="shared" si="27"/>
        <v>237.23820000000001</v>
      </c>
      <c r="C251" s="92">
        <f>('Цены на металл '!AA250*'Цены на металл '!$B$4*1.4)+'Цены на металл '!AB250</f>
        <v>263.59800000000001</v>
      </c>
      <c r="D251" s="92">
        <f t="shared" si="28"/>
        <v>289.95780000000002</v>
      </c>
      <c r="E251" s="92">
        <f t="shared" si="29"/>
        <v>316.31760000000003</v>
      </c>
      <c r="F251" s="92">
        <f t="shared" si="29"/>
        <v>347.94936000000001</v>
      </c>
      <c r="G251" s="92">
        <f t="shared" si="29"/>
        <v>379.58112</v>
      </c>
      <c r="H251" s="124">
        <f t="shared" si="30"/>
        <v>527.19600000000003</v>
      </c>
      <c r="I251" s="124">
        <f t="shared" si="31"/>
        <v>579.91560000000004</v>
      </c>
      <c r="J251" s="125">
        <f t="shared" si="32"/>
        <v>790.7940000000001</v>
      </c>
    </row>
    <row r="252" spans="1:10" ht="14.95" customHeight="1">
      <c r="A252" s="10" t="s">
        <v>1447</v>
      </c>
      <c r="B252" s="92">
        <f t="shared" si="27"/>
        <v>146.16540000000001</v>
      </c>
      <c r="C252" s="92">
        <f>('Цены на металл '!AA251*'Цены на металл '!$B$4*1.4)+'Цены на металл '!AB251</f>
        <v>162.40600000000001</v>
      </c>
      <c r="D252" s="92">
        <f t="shared" si="28"/>
        <v>178.64660000000003</v>
      </c>
      <c r="E252" s="92">
        <f t="shared" si="29"/>
        <v>194.88720000000001</v>
      </c>
      <c r="F252" s="92">
        <f t="shared" si="29"/>
        <v>214.37592000000004</v>
      </c>
      <c r="G252" s="92">
        <f t="shared" si="29"/>
        <v>233.86464000000001</v>
      </c>
      <c r="H252" s="124">
        <f t="shared" si="30"/>
        <v>324.81200000000001</v>
      </c>
      <c r="I252" s="124">
        <f t="shared" si="31"/>
        <v>357.29320000000007</v>
      </c>
      <c r="J252" s="125">
        <f t="shared" si="32"/>
        <v>487.21800000000002</v>
      </c>
    </row>
    <row r="253" spans="1:10" ht="14.95" customHeight="1">
      <c r="A253" s="10" t="s">
        <v>1448</v>
      </c>
      <c r="B253" s="92">
        <f t="shared" si="27"/>
        <v>162.054</v>
      </c>
      <c r="C253" s="92">
        <f>('Цены на металл '!AA252*'Цены на металл '!$B$4*1.4)+'Цены на металл '!AB252</f>
        <v>180.06</v>
      </c>
      <c r="D253" s="92">
        <f t="shared" si="28"/>
        <v>198.06600000000003</v>
      </c>
      <c r="E253" s="92">
        <f t="shared" si="29"/>
        <v>216.072</v>
      </c>
      <c r="F253" s="92">
        <f t="shared" si="29"/>
        <v>237.67920000000004</v>
      </c>
      <c r="G253" s="92">
        <f t="shared" si="29"/>
        <v>259.28640000000001</v>
      </c>
      <c r="H253" s="124">
        <f t="shared" si="30"/>
        <v>360.12</v>
      </c>
      <c r="I253" s="124">
        <f t="shared" si="31"/>
        <v>396.13200000000006</v>
      </c>
      <c r="J253" s="125">
        <f t="shared" si="32"/>
        <v>540.18000000000006</v>
      </c>
    </row>
    <row r="254" spans="1:10" ht="14.95" customHeight="1">
      <c r="A254" s="10" t="s">
        <v>1449</v>
      </c>
      <c r="B254" s="92">
        <f t="shared" si="27"/>
        <v>172.94670000000002</v>
      </c>
      <c r="C254" s="92">
        <f>('Цены на металл '!AA253*'Цены на металл '!$B$4*1.4)+'Цены на металл '!AB253</f>
        <v>192.16300000000001</v>
      </c>
      <c r="D254" s="92">
        <f t="shared" si="28"/>
        <v>211.37930000000003</v>
      </c>
      <c r="E254" s="92">
        <f t="shared" si="29"/>
        <v>230.59559999999999</v>
      </c>
      <c r="F254" s="92">
        <f t="shared" si="29"/>
        <v>253.65516000000002</v>
      </c>
      <c r="G254" s="92">
        <f t="shared" si="29"/>
        <v>276.71472</v>
      </c>
      <c r="H254" s="124">
        <f t="shared" si="30"/>
        <v>384.32600000000002</v>
      </c>
      <c r="I254" s="124">
        <f t="shared" si="31"/>
        <v>422.75860000000006</v>
      </c>
      <c r="J254" s="125">
        <f t="shared" si="32"/>
        <v>576.48900000000003</v>
      </c>
    </row>
    <row r="255" spans="1:10" ht="14.95" customHeight="1">
      <c r="A255" s="10" t="s">
        <v>1450</v>
      </c>
      <c r="B255" s="92">
        <f t="shared" si="27"/>
        <v>189.32670000000002</v>
      </c>
      <c r="C255" s="92">
        <f>('Цены на металл '!AA254*'Цены на металл '!$B$4*1.4)+'Цены на металл '!AB254</f>
        <v>210.363</v>
      </c>
      <c r="D255" s="92">
        <f t="shared" si="28"/>
        <v>231.39930000000001</v>
      </c>
      <c r="E255" s="92">
        <f t="shared" si="29"/>
        <v>252.43559999999999</v>
      </c>
      <c r="F255" s="92">
        <f t="shared" si="29"/>
        <v>277.67916000000002</v>
      </c>
      <c r="G255" s="92">
        <f t="shared" si="29"/>
        <v>302.92271999999997</v>
      </c>
      <c r="H255" s="124">
        <f t="shared" si="30"/>
        <v>420.726</v>
      </c>
      <c r="I255" s="124">
        <f t="shared" si="31"/>
        <v>462.79860000000002</v>
      </c>
      <c r="J255" s="125">
        <f t="shared" si="32"/>
        <v>631.08899999999994</v>
      </c>
    </row>
    <row r="256" spans="1:10" ht="14.95" customHeight="1">
      <c r="A256" s="10" t="s">
        <v>1451</v>
      </c>
      <c r="B256" s="92">
        <f t="shared" si="27"/>
        <v>206.19809999999998</v>
      </c>
      <c r="C256" s="92">
        <f>('Цены на металл '!AA255*'Цены на металл '!$B$4*1.4)+'Цены на металл '!AB255</f>
        <v>229.10899999999998</v>
      </c>
      <c r="D256" s="92">
        <f t="shared" si="28"/>
        <v>252.01990000000001</v>
      </c>
      <c r="E256" s="92">
        <f t="shared" si="29"/>
        <v>274.93079999999998</v>
      </c>
      <c r="F256" s="92">
        <f t="shared" si="29"/>
        <v>302.42388</v>
      </c>
      <c r="G256" s="92">
        <f t="shared" si="29"/>
        <v>329.91695999999996</v>
      </c>
      <c r="H256" s="124">
        <f t="shared" si="30"/>
        <v>458.21799999999996</v>
      </c>
      <c r="I256" s="124">
        <f t="shared" si="31"/>
        <v>504.03980000000001</v>
      </c>
      <c r="J256" s="125">
        <f t="shared" si="32"/>
        <v>687.327</v>
      </c>
    </row>
    <row r="257" spans="1:10" ht="14.95" customHeight="1">
      <c r="A257" s="10" t="s">
        <v>1452</v>
      </c>
      <c r="B257" s="92">
        <f t="shared" si="27"/>
        <v>151.07940000000002</v>
      </c>
      <c r="C257" s="92">
        <f>('Цены на металл '!AA256*'Цены на металл '!$B$4*1.4)+'Цены на металл '!AB256</f>
        <v>167.86600000000001</v>
      </c>
      <c r="D257" s="92">
        <f t="shared" si="28"/>
        <v>184.65260000000004</v>
      </c>
      <c r="E257" s="92">
        <f t="shared" si="29"/>
        <v>201.4392</v>
      </c>
      <c r="F257" s="92">
        <f t="shared" si="29"/>
        <v>221.58312000000004</v>
      </c>
      <c r="G257" s="92">
        <f t="shared" si="29"/>
        <v>241.72703999999999</v>
      </c>
      <c r="H257" s="124">
        <f t="shared" si="30"/>
        <v>335.73200000000003</v>
      </c>
      <c r="I257" s="124">
        <f t="shared" si="31"/>
        <v>369.30520000000007</v>
      </c>
      <c r="J257" s="125">
        <f t="shared" si="32"/>
        <v>503.59800000000007</v>
      </c>
    </row>
    <row r="258" spans="1:10" ht="14.95" customHeight="1">
      <c r="A258" s="10" t="s">
        <v>1453</v>
      </c>
      <c r="B258" s="92">
        <f t="shared" si="27"/>
        <v>152.7174</v>
      </c>
      <c r="C258" s="92">
        <f>('Цены на металл '!AA257*'Цены на металл '!$B$4*1.4)+'Цены на металл '!AB257</f>
        <v>169.68600000000001</v>
      </c>
      <c r="D258" s="92">
        <f t="shared" si="28"/>
        <v>186.65460000000002</v>
      </c>
      <c r="E258" s="92">
        <f t="shared" si="29"/>
        <v>203.6232</v>
      </c>
      <c r="F258" s="92">
        <f t="shared" si="29"/>
        <v>223.98552000000001</v>
      </c>
      <c r="G258" s="92">
        <f t="shared" si="29"/>
        <v>244.34783999999999</v>
      </c>
      <c r="H258" s="124">
        <f t="shared" si="30"/>
        <v>339.37200000000001</v>
      </c>
      <c r="I258" s="124">
        <f t="shared" si="31"/>
        <v>373.30920000000003</v>
      </c>
      <c r="J258" s="125">
        <f t="shared" si="32"/>
        <v>509.05799999999999</v>
      </c>
    </row>
    <row r="259" spans="1:10" ht="14.95" customHeight="1">
      <c r="A259" s="10" t="s">
        <v>1454</v>
      </c>
      <c r="B259" s="92">
        <f t="shared" si="27"/>
        <v>154.02780000000001</v>
      </c>
      <c r="C259" s="92">
        <f>('Цены на металл '!AA258*'Цены на металл '!$B$4*1.4)+'Цены на металл '!AB258</f>
        <v>171.142</v>
      </c>
      <c r="D259" s="92">
        <f t="shared" si="28"/>
        <v>188.25620000000001</v>
      </c>
      <c r="E259" s="92">
        <f t="shared" si="29"/>
        <v>205.37039999999999</v>
      </c>
      <c r="F259" s="92">
        <f t="shared" si="29"/>
        <v>225.90744000000001</v>
      </c>
      <c r="G259" s="92">
        <f t="shared" si="29"/>
        <v>246.44447999999997</v>
      </c>
      <c r="H259" s="124">
        <f t="shared" si="30"/>
        <v>342.28399999999999</v>
      </c>
      <c r="I259" s="124">
        <f t="shared" si="31"/>
        <v>376.51240000000001</v>
      </c>
      <c r="J259" s="125">
        <f t="shared" si="32"/>
        <v>513.42599999999993</v>
      </c>
    </row>
    <row r="260" spans="1:10" ht="14.95" customHeight="1">
      <c r="A260" s="10" t="s">
        <v>1455</v>
      </c>
      <c r="B260" s="92">
        <f t="shared" si="27"/>
        <v>167.3775</v>
      </c>
      <c r="C260" s="92">
        <f>('Цены на металл '!AA259*'Цены на металл '!$B$4*1.4)+'Цены на металл '!AB259</f>
        <v>185.97499999999999</v>
      </c>
      <c r="D260" s="92">
        <f t="shared" si="28"/>
        <v>204.57250000000002</v>
      </c>
      <c r="E260" s="92">
        <f t="shared" si="29"/>
        <v>223.17</v>
      </c>
      <c r="F260" s="92">
        <f t="shared" si="29"/>
        <v>245.48700000000002</v>
      </c>
      <c r="G260" s="92">
        <f t="shared" si="29"/>
        <v>267.80399999999997</v>
      </c>
      <c r="H260" s="124">
        <f t="shared" si="30"/>
        <v>371.95</v>
      </c>
      <c r="I260" s="124">
        <f t="shared" si="31"/>
        <v>409.14500000000004</v>
      </c>
      <c r="J260" s="125">
        <f t="shared" si="32"/>
        <v>557.92499999999995</v>
      </c>
    </row>
    <row r="261" spans="1:10" ht="14.95" customHeight="1">
      <c r="A261" s="10" t="s">
        <v>1456</v>
      </c>
      <c r="B261" s="92">
        <f t="shared" ref="B261:B324" si="33">C261*0.9</f>
        <v>179.5806</v>
      </c>
      <c r="C261" s="92">
        <f>('Цены на металл '!AA260*'Цены на металл '!$B$4*1.4)+'Цены на металл '!AB260</f>
        <v>199.53399999999999</v>
      </c>
      <c r="D261" s="92">
        <f t="shared" ref="D261:D324" si="34">C261*1.1</f>
        <v>219.48740000000001</v>
      </c>
      <c r="E261" s="92">
        <f t="shared" ref="E261:G324" si="35">C261*1.2</f>
        <v>239.44079999999997</v>
      </c>
      <c r="F261" s="92">
        <f t="shared" si="35"/>
        <v>263.38488000000001</v>
      </c>
      <c r="G261" s="92">
        <f t="shared" si="35"/>
        <v>287.32895999999994</v>
      </c>
      <c r="H261" s="124">
        <f t="shared" si="30"/>
        <v>399.06799999999998</v>
      </c>
      <c r="I261" s="124">
        <f t="shared" si="31"/>
        <v>438.97480000000002</v>
      </c>
      <c r="J261" s="125">
        <f t="shared" si="32"/>
        <v>598.60199999999998</v>
      </c>
    </row>
    <row r="262" spans="1:10" ht="14.95" customHeight="1">
      <c r="A262" s="10" t="s">
        <v>1457</v>
      </c>
      <c r="B262" s="92">
        <f t="shared" si="33"/>
        <v>215.28899999999999</v>
      </c>
      <c r="C262" s="92">
        <f>('Цены на металл '!AA261*'Цены на металл '!$B$4*1.4)+'Цены на металл '!AB261</f>
        <v>239.20999999999998</v>
      </c>
      <c r="D262" s="92">
        <f t="shared" si="34"/>
        <v>263.13099999999997</v>
      </c>
      <c r="E262" s="92">
        <f t="shared" si="35"/>
        <v>287.05199999999996</v>
      </c>
      <c r="F262" s="92">
        <f t="shared" si="35"/>
        <v>315.75719999999995</v>
      </c>
      <c r="G262" s="92">
        <f t="shared" si="35"/>
        <v>344.46239999999995</v>
      </c>
      <c r="H262" s="124">
        <f t="shared" si="30"/>
        <v>478.41999999999996</v>
      </c>
      <c r="I262" s="124">
        <f t="shared" si="31"/>
        <v>526.26199999999994</v>
      </c>
      <c r="J262" s="125">
        <f t="shared" si="32"/>
        <v>717.62999999999988</v>
      </c>
    </row>
    <row r="263" spans="1:10" ht="14.95" customHeight="1">
      <c r="A263" s="10" t="s">
        <v>1458</v>
      </c>
      <c r="B263" s="92">
        <f t="shared" si="33"/>
        <v>231.66899999999998</v>
      </c>
      <c r="C263" s="92">
        <f>('Цены на металл '!AA262*'Цены на металл '!$B$4*1.4)+'Цены на металл '!AB262</f>
        <v>257.40999999999997</v>
      </c>
      <c r="D263" s="92">
        <f t="shared" si="34"/>
        <v>283.15100000000001</v>
      </c>
      <c r="E263" s="92">
        <f t="shared" si="35"/>
        <v>308.89199999999994</v>
      </c>
      <c r="F263" s="92">
        <f t="shared" si="35"/>
        <v>339.78120000000001</v>
      </c>
      <c r="G263" s="92">
        <f t="shared" si="35"/>
        <v>370.67039999999992</v>
      </c>
      <c r="H263" s="124">
        <f t="shared" si="30"/>
        <v>514.81999999999994</v>
      </c>
      <c r="I263" s="124">
        <f t="shared" si="31"/>
        <v>566.30200000000002</v>
      </c>
      <c r="J263" s="125">
        <f t="shared" si="32"/>
        <v>772.2299999999999</v>
      </c>
    </row>
    <row r="264" spans="1:10" ht="14.95" customHeight="1">
      <c r="A264" s="10" t="s">
        <v>1459</v>
      </c>
      <c r="B264" s="92">
        <f t="shared" si="33"/>
        <v>151.07940000000002</v>
      </c>
      <c r="C264" s="92">
        <f>('Цены на металл '!AA263*'Цены на металл '!$B$4*1.4)+'Цены на металл '!AB263</f>
        <v>167.86600000000001</v>
      </c>
      <c r="D264" s="92">
        <f t="shared" si="34"/>
        <v>184.65260000000004</v>
      </c>
      <c r="E264" s="92">
        <f t="shared" si="35"/>
        <v>201.4392</v>
      </c>
      <c r="F264" s="92">
        <f t="shared" si="35"/>
        <v>221.58312000000004</v>
      </c>
      <c r="G264" s="92">
        <f t="shared" si="35"/>
        <v>241.72703999999999</v>
      </c>
      <c r="H264" s="124">
        <f t="shared" si="30"/>
        <v>335.73200000000003</v>
      </c>
      <c r="I264" s="124">
        <f t="shared" si="31"/>
        <v>369.30520000000007</v>
      </c>
      <c r="J264" s="125">
        <f t="shared" si="32"/>
        <v>503.59800000000007</v>
      </c>
    </row>
    <row r="265" spans="1:10" ht="14.95" customHeight="1">
      <c r="A265" s="10" t="s">
        <v>1460</v>
      </c>
      <c r="B265" s="92">
        <f t="shared" si="33"/>
        <v>165.24809999999999</v>
      </c>
      <c r="C265" s="92">
        <f>('Цены на металл '!AA264*'Цены на металл '!$B$4*1.4)+'Цены на металл '!AB264</f>
        <v>183.60899999999998</v>
      </c>
      <c r="D265" s="92">
        <f t="shared" si="34"/>
        <v>201.9699</v>
      </c>
      <c r="E265" s="92">
        <f t="shared" si="35"/>
        <v>220.33079999999998</v>
      </c>
      <c r="F265" s="92">
        <f t="shared" si="35"/>
        <v>242.36387999999999</v>
      </c>
      <c r="G265" s="92">
        <f t="shared" si="35"/>
        <v>264.39695999999998</v>
      </c>
      <c r="H265" s="124">
        <f t="shared" si="30"/>
        <v>367.21799999999996</v>
      </c>
      <c r="I265" s="124">
        <f t="shared" si="31"/>
        <v>403.93979999999999</v>
      </c>
      <c r="J265" s="125">
        <f t="shared" si="32"/>
        <v>550.827</v>
      </c>
    </row>
    <row r="266" spans="1:10" ht="14.95" customHeight="1">
      <c r="A266" s="10" t="s">
        <v>1461</v>
      </c>
      <c r="B266" s="92">
        <f t="shared" si="33"/>
        <v>163.5282</v>
      </c>
      <c r="C266" s="92">
        <f>('Цены на металл '!AA265*'Цены на металл '!$B$4*1.4)+'Цены на металл '!AB265</f>
        <v>181.69799999999998</v>
      </c>
      <c r="D266" s="92">
        <f t="shared" si="34"/>
        <v>199.86779999999999</v>
      </c>
      <c r="E266" s="92">
        <f t="shared" si="35"/>
        <v>218.03759999999997</v>
      </c>
      <c r="F266" s="92">
        <f t="shared" si="35"/>
        <v>239.84135999999998</v>
      </c>
      <c r="G266" s="92">
        <f t="shared" si="35"/>
        <v>261.64511999999996</v>
      </c>
      <c r="H266" s="124">
        <f t="shared" si="30"/>
        <v>363.39599999999996</v>
      </c>
      <c r="I266" s="124">
        <f t="shared" si="31"/>
        <v>399.73559999999998</v>
      </c>
      <c r="J266" s="125">
        <f t="shared" si="32"/>
        <v>545.09399999999994</v>
      </c>
    </row>
    <row r="267" spans="1:10" ht="14.95" customHeight="1">
      <c r="A267" s="10" t="s">
        <v>1462</v>
      </c>
      <c r="B267" s="92">
        <f t="shared" si="33"/>
        <v>179.25299999999999</v>
      </c>
      <c r="C267" s="92">
        <f>('Цены на металл '!AA266*'Цены на металл '!$B$4*1.4)+'Цены на металл '!AB266</f>
        <v>199.17</v>
      </c>
      <c r="D267" s="92">
        <f t="shared" si="34"/>
        <v>219.08700000000002</v>
      </c>
      <c r="E267" s="92">
        <f t="shared" si="35"/>
        <v>239.00399999999996</v>
      </c>
      <c r="F267" s="92">
        <f t="shared" si="35"/>
        <v>262.90440000000001</v>
      </c>
      <c r="G267" s="92">
        <f t="shared" si="35"/>
        <v>286.80479999999994</v>
      </c>
      <c r="H267" s="124">
        <f t="shared" si="30"/>
        <v>398.34</v>
      </c>
      <c r="I267" s="124">
        <f t="shared" si="31"/>
        <v>438.17400000000004</v>
      </c>
      <c r="J267" s="125">
        <f t="shared" si="32"/>
        <v>597.51</v>
      </c>
    </row>
    <row r="268" spans="1:10" ht="14.95" customHeight="1">
      <c r="A268" s="10" t="s">
        <v>1463</v>
      </c>
      <c r="B268" s="92">
        <f t="shared" si="33"/>
        <v>192.84840000000003</v>
      </c>
      <c r="C268" s="92">
        <f>('Цены на металл '!AA267*'Цены на металл '!$B$4*1.4)+'Цены на металл '!AB267</f>
        <v>214.27600000000001</v>
      </c>
      <c r="D268" s="92">
        <f t="shared" si="34"/>
        <v>235.70360000000002</v>
      </c>
      <c r="E268" s="92">
        <f t="shared" si="35"/>
        <v>257.13119999999998</v>
      </c>
      <c r="F268" s="92">
        <f t="shared" si="35"/>
        <v>282.84432000000004</v>
      </c>
      <c r="G268" s="92">
        <f t="shared" si="35"/>
        <v>308.55743999999999</v>
      </c>
      <c r="H268" s="124">
        <f t="shared" si="30"/>
        <v>428.55200000000002</v>
      </c>
      <c r="I268" s="124">
        <f t="shared" si="31"/>
        <v>471.40720000000005</v>
      </c>
      <c r="J268" s="125">
        <f t="shared" si="32"/>
        <v>642.82799999999997</v>
      </c>
    </row>
    <row r="269" spans="1:10" ht="14.95" customHeight="1">
      <c r="A269" s="10" t="s">
        <v>1464</v>
      </c>
      <c r="B269" s="92">
        <f t="shared" si="33"/>
        <v>231.75089999999997</v>
      </c>
      <c r="C269" s="92">
        <f>('Цены на металл '!AA268*'Цены на металл '!$B$4*1.4)+'Цены на металл '!AB268</f>
        <v>257.50099999999998</v>
      </c>
      <c r="D269" s="92">
        <f t="shared" si="34"/>
        <v>283.25110000000001</v>
      </c>
      <c r="E269" s="92">
        <f t="shared" si="35"/>
        <v>309.00119999999998</v>
      </c>
      <c r="F269" s="92">
        <f t="shared" si="35"/>
        <v>339.90132</v>
      </c>
      <c r="G269" s="92">
        <f t="shared" si="35"/>
        <v>370.80143999999996</v>
      </c>
      <c r="H269" s="124">
        <f t="shared" si="30"/>
        <v>515.00199999999995</v>
      </c>
      <c r="I269" s="124">
        <f t="shared" si="31"/>
        <v>566.50220000000002</v>
      </c>
      <c r="J269" s="125">
        <f t="shared" si="32"/>
        <v>772.50299999999993</v>
      </c>
    </row>
    <row r="270" spans="1:10" ht="14.95" customHeight="1">
      <c r="A270" s="10" t="s">
        <v>1465</v>
      </c>
      <c r="B270" s="92">
        <f t="shared" si="33"/>
        <v>248.13090000000003</v>
      </c>
      <c r="C270" s="92">
        <f>('Цены на металл '!AA269*'Цены на металл '!$B$4*1.4)+'Цены на металл '!AB269</f>
        <v>275.70100000000002</v>
      </c>
      <c r="D270" s="92">
        <f t="shared" si="34"/>
        <v>303.27110000000005</v>
      </c>
      <c r="E270" s="92">
        <f t="shared" si="35"/>
        <v>330.84120000000001</v>
      </c>
      <c r="F270" s="92">
        <f t="shared" si="35"/>
        <v>363.92532000000006</v>
      </c>
      <c r="G270" s="92">
        <f t="shared" si="35"/>
        <v>397.00943999999998</v>
      </c>
      <c r="H270" s="124">
        <f t="shared" si="30"/>
        <v>551.40200000000004</v>
      </c>
      <c r="I270" s="124">
        <f t="shared" si="31"/>
        <v>606.54220000000009</v>
      </c>
      <c r="J270" s="125">
        <f t="shared" si="32"/>
        <v>827.10300000000007</v>
      </c>
    </row>
    <row r="271" spans="1:10" ht="14.95" customHeight="1">
      <c r="A271" s="10" t="s">
        <v>1466</v>
      </c>
      <c r="B271" s="92">
        <f t="shared" si="33"/>
        <v>172.70099999999999</v>
      </c>
      <c r="C271" s="92">
        <f>('Цены на металл '!AA270*'Цены на металл '!$B$4*1.4)+'Цены на металл '!AB270</f>
        <v>191.89</v>
      </c>
      <c r="D271" s="92">
        <f t="shared" si="34"/>
        <v>211.07900000000001</v>
      </c>
      <c r="E271" s="92">
        <f t="shared" si="35"/>
        <v>230.26799999999997</v>
      </c>
      <c r="F271" s="92">
        <f t="shared" si="35"/>
        <v>253.29480000000001</v>
      </c>
      <c r="G271" s="92">
        <f t="shared" si="35"/>
        <v>276.32159999999993</v>
      </c>
      <c r="H271" s="124">
        <f t="shared" si="30"/>
        <v>383.78</v>
      </c>
      <c r="I271" s="124">
        <f t="shared" si="31"/>
        <v>422.15800000000002</v>
      </c>
      <c r="J271" s="125">
        <f t="shared" si="32"/>
        <v>575.66999999999996</v>
      </c>
    </row>
    <row r="272" spans="1:10" ht="14.95" customHeight="1">
      <c r="A272" s="10" t="s">
        <v>1467</v>
      </c>
      <c r="B272" s="92">
        <f t="shared" si="33"/>
        <v>173.52</v>
      </c>
      <c r="C272" s="92">
        <f>('Цены на металл '!AA271*'Цены на металл '!$B$4*1.4)+'Цены на металл '!AB271</f>
        <v>192.8</v>
      </c>
      <c r="D272" s="92">
        <f t="shared" si="34"/>
        <v>212.08000000000004</v>
      </c>
      <c r="E272" s="92">
        <f t="shared" si="35"/>
        <v>231.36</v>
      </c>
      <c r="F272" s="92">
        <f t="shared" si="35"/>
        <v>254.49600000000004</v>
      </c>
      <c r="G272" s="92">
        <f t="shared" si="35"/>
        <v>277.63200000000001</v>
      </c>
      <c r="H272" s="124">
        <f t="shared" si="30"/>
        <v>385.6</v>
      </c>
      <c r="I272" s="124">
        <f t="shared" si="31"/>
        <v>424.16000000000008</v>
      </c>
      <c r="J272" s="125">
        <f t="shared" si="32"/>
        <v>578.40000000000009</v>
      </c>
    </row>
    <row r="273" spans="1:10" ht="14.95" customHeight="1">
      <c r="A273" s="10" t="s">
        <v>1468</v>
      </c>
      <c r="B273" s="92">
        <f t="shared" si="33"/>
        <v>174.74850000000001</v>
      </c>
      <c r="C273" s="92">
        <f>('Цены на металл '!AA272*'Цены на металл '!$B$4*1.4)+'Цены на металл '!AB272</f>
        <v>194.16499999999999</v>
      </c>
      <c r="D273" s="92">
        <f t="shared" si="34"/>
        <v>213.58150000000001</v>
      </c>
      <c r="E273" s="92">
        <f t="shared" si="35"/>
        <v>232.99799999999999</v>
      </c>
      <c r="F273" s="92">
        <f t="shared" si="35"/>
        <v>256.2978</v>
      </c>
      <c r="G273" s="92">
        <f t="shared" si="35"/>
        <v>279.5976</v>
      </c>
      <c r="H273" s="124">
        <f t="shared" si="30"/>
        <v>388.33</v>
      </c>
      <c r="I273" s="124">
        <f t="shared" si="31"/>
        <v>427.16300000000001</v>
      </c>
      <c r="J273" s="125">
        <f t="shared" si="32"/>
        <v>582.495</v>
      </c>
    </row>
    <row r="274" spans="1:10" ht="14.95" customHeight="1">
      <c r="A274" s="10" t="s">
        <v>1469</v>
      </c>
      <c r="B274" s="92">
        <f t="shared" si="33"/>
        <v>191.12849999999997</v>
      </c>
      <c r="C274" s="92">
        <f>('Цены на металл '!AA273*'Цены на металл '!$B$4*1.4)+'Цены на металл '!AB273</f>
        <v>212.36499999999998</v>
      </c>
      <c r="D274" s="92">
        <f t="shared" si="34"/>
        <v>233.60149999999999</v>
      </c>
      <c r="E274" s="92">
        <f t="shared" si="35"/>
        <v>254.83799999999997</v>
      </c>
      <c r="F274" s="92">
        <f t="shared" si="35"/>
        <v>280.3218</v>
      </c>
      <c r="G274" s="92">
        <f t="shared" si="35"/>
        <v>305.80559999999997</v>
      </c>
      <c r="H274" s="124">
        <f t="shared" si="30"/>
        <v>424.72999999999996</v>
      </c>
      <c r="I274" s="124">
        <f t="shared" si="31"/>
        <v>467.20299999999997</v>
      </c>
      <c r="J274" s="125">
        <f t="shared" si="32"/>
        <v>637.09499999999991</v>
      </c>
    </row>
    <row r="275" spans="1:10" ht="14.95" customHeight="1">
      <c r="A275" s="10" t="s">
        <v>1470</v>
      </c>
      <c r="B275" s="92">
        <f t="shared" si="33"/>
        <v>206.11619999999999</v>
      </c>
      <c r="C275" s="92">
        <f>('Цены на металл '!AA274*'Цены на металл '!$B$4*1.4)+'Цены на металл '!AB274</f>
        <v>229.01799999999997</v>
      </c>
      <c r="D275" s="92">
        <f t="shared" si="34"/>
        <v>251.91979999999998</v>
      </c>
      <c r="E275" s="92">
        <f t="shared" si="35"/>
        <v>274.82159999999993</v>
      </c>
      <c r="F275" s="92">
        <f t="shared" si="35"/>
        <v>302.30375999999995</v>
      </c>
      <c r="G275" s="92">
        <f t="shared" si="35"/>
        <v>329.78591999999992</v>
      </c>
      <c r="H275" s="124">
        <f t="shared" si="30"/>
        <v>458.03599999999994</v>
      </c>
      <c r="I275" s="124">
        <f t="shared" si="31"/>
        <v>503.83959999999996</v>
      </c>
      <c r="J275" s="125">
        <f t="shared" si="32"/>
        <v>687.05399999999986</v>
      </c>
    </row>
    <row r="276" spans="1:10" ht="14.95" customHeight="1">
      <c r="A276" s="10" t="s">
        <v>1471</v>
      </c>
      <c r="B276" s="92">
        <f t="shared" si="33"/>
        <v>222.49619999999996</v>
      </c>
      <c r="C276" s="92">
        <f>('Цены на металл '!AA275*'Цены на металл '!$B$4*1.4)+'Цены на металл '!AB275</f>
        <v>247.21799999999996</v>
      </c>
      <c r="D276" s="92">
        <f t="shared" si="34"/>
        <v>271.93979999999999</v>
      </c>
      <c r="E276" s="92">
        <f t="shared" si="35"/>
        <v>296.66159999999996</v>
      </c>
      <c r="F276" s="92">
        <f t="shared" si="35"/>
        <v>326.32775999999996</v>
      </c>
      <c r="G276" s="92">
        <f t="shared" si="35"/>
        <v>355.99391999999995</v>
      </c>
      <c r="H276" s="124">
        <f t="shared" si="30"/>
        <v>494.43599999999992</v>
      </c>
      <c r="I276" s="124">
        <f t="shared" si="31"/>
        <v>543.87959999999998</v>
      </c>
      <c r="J276" s="125">
        <f t="shared" si="32"/>
        <v>741.65399999999988</v>
      </c>
    </row>
    <row r="277" spans="1:10" ht="14.95" customHeight="1">
      <c r="A277" s="10" t="s">
        <v>1472</v>
      </c>
      <c r="B277" s="92">
        <f t="shared" si="33"/>
        <v>238.87620000000001</v>
      </c>
      <c r="C277" s="92">
        <f>('Цены на металл '!AA276*'Цены на металл '!$B$4*1.4)+'Цены на металл '!AB276</f>
        <v>265.41800000000001</v>
      </c>
      <c r="D277" s="92">
        <f t="shared" si="34"/>
        <v>291.95980000000003</v>
      </c>
      <c r="E277" s="92">
        <f t="shared" si="35"/>
        <v>318.5016</v>
      </c>
      <c r="F277" s="92">
        <f t="shared" si="35"/>
        <v>350.35176000000001</v>
      </c>
      <c r="G277" s="92">
        <f t="shared" si="35"/>
        <v>382.20191999999997</v>
      </c>
      <c r="H277" s="124">
        <f t="shared" si="30"/>
        <v>530.83600000000001</v>
      </c>
      <c r="I277" s="124">
        <f t="shared" si="31"/>
        <v>583.91960000000006</v>
      </c>
      <c r="J277" s="125">
        <f t="shared" si="32"/>
        <v>796.25400000000002</v>
      </c>
    </row>
    <row r="278" spans="1:10" ht="14.95" customHeight="1">
      <c r="A278" s="9" t="s">
        <v>1538</v>
      </c>
      <c r="B278" s="92">
        <f t="shared" si="33"/>
        <v>0</v>
      </c>
      <c r="C278" s="92">
        <f>('Цены на металл '!AA277*'Цены на металл '!$B$4*1.4)+'Цены на металл '!AB277</f>
        <v>0</v>
      </c>
      <c r="D278" s="92">
        <f t="shared" si="34"/>
        <v>0</v>
      </c>
      <c r="E278" s="92">
        <f t="shared" si="35"/>
        <v>0</v>
      </c>
      <c r="F278" s="92">
        <f t="shared" si="35"/>
        <v>0</v>
      </c>
      <c r="G278" s="92">
        <f t="shared" si="35"/>
        <v>0</v>
      </c>
      <c r="H278" s="124">
        <f t="shared" si="30"/>
        <v>0</v>
      </c>
      <c r="I278" s="124">
        <f t="shared" si="31"/>
        <v>0</v>
      </c>
      <c r="J278" s="125">
        <f t="shared" si="32"/>
        <v>0</v>
      </c>
    </row>
    <row r="279" spans="1:10" ht="14.95" customHeight="1">
      <c r="A279" s="10" t="s">
        <v>1473</v>
      </c>
      <c r="B279" s="92">
        <f t="shared" si="33"/>
        <v>33.3018</v>
      </c>
      <c r="C279" s="92">
        <f>('Цены на металл '!AA278*'Цены на металл '!$B$4*1.4)+'Цены на металл '!AB278</f>
        <v>37.002000000000002</v>
      </c>
      <c r="D279" s="92">
        <f t="shared" si="34"/>
        <v>40.702200000000005</v>
      </c>
      <c r="E279" s="92">
        <f t="shared" si="35"/>
        <v>44.4024</v>
      </c>
      <c r="F279" s="92">
        <f t="shared" si="35"/>
        <v>48.842640000000003</v>
      </c>
      <c r="G279" s="92">
        <f t="shared" si="35"/>
        <v>53.282879999999999</v>
      </c>
      <c r="H279" s="124">
        <f t="shared" si="30"/>
        <v>74.004000000000005</v>
      </c>
      <c r="I279" s="124">
        <f t="shared" si="31"/>
        <v>81.40440000000001</v>
      </c>
      <c r="J279" s="125">
        <f t="shared" si="32"/>
        <v>111.006</v>
      </c>
    </row>
    <row r="280" spans="1:10" ht="14.95" customHeight="1">
      <c r="A280" s="10" t="s">
        <v>1474</v>
      </c>
      <c r="B280" s="92">
        <f t="shared" si="33"/>
        <v>33.547499999999999</v>
      </c>
      <c r="C280" s="92">
        <f>('Цены на металл '!AA279*'Цены на металл '!$B$4*1.4)+'Цены на металл '!AB279</f>
        <v>37.274999999999999</v>
      </c>
      <c r="D280" s="92">
        <f t="shared" si="34"/>
        <v>41.002500000000005</v>
      </c>
      <c r="E280" s="92">
        <f t="shared" si="35"/>
        <v>44.73</v>
      </c>
      <c r="F280" s="92">
        <f t="shared" si="35"/>
        <v>49.203000000000003</v>
      </c>
      <c r="G280" s="92">
        <f t="shared" si="35"/>
        <v>53.675999999999995</v>
      </c>
      <c r="H280" s="124">
        <f t="shared" si="30"/>
        <v>74.55</v>
      </c>
      <c r="I280" s="124">
        <f t="shared" si="31"/>
        <v>82.00500000000001</v>
      </c>
      <c r="J280" s="125">
        <f t="shared" si="32"/>
        <v>111.82499999999999</v>
      </c>
    </row>
    <row r="281" spans="1:10" ht="14.95" customHeight="1">
      <c r="A281" s="10" t="s">
        <v>1475</v>
      </c>
      <c r="B281" s="92">
        <f t="shared" si="33"/>
        <v>34.448399999999999</v>
      </c>
      <c r="C281" s="92">
        <f>('Цены на металл '!AA280*'Цены на металл '!$B$4*1.4)+'Цены на металл '!AB280</f>
        <v>38.275999999999996</v>
      </c>
      <c r="D281" s="92">
        <f t="shared" si="34"/>
        <v>42.1036</v>
      </c>
      <c r="E281" s="92">
        <f t="shared" si="35"/>
        <v>45.931199999999997</v>
      </c>
      <c r="F281" s="92">
        <f t="shared" si="35"/>
        <v>50.524319999999996</v>
      </c>
      <c r="G281" s="92">
        <f t="shared" si="35"/>
        <v>55.117439999999995</v>
      </c>
      <c r="H281" s="124">
        <f t="shared" si="30"/>
        <v>76.551999999999992</v>
      </c>
      <c r="I281" s="124">
        <f t="shared" si="31"/>
        <v>84.2072</v>
      </c>
      <c r="J281" s="125">
        <f t="shared" si="32"/>
        <v>114.82799999999999</v>
      </c>
    </row>
    <row r="282" spans="1:10" ht="14.95" customHeight="1">
      <c r="A282" s="10" t="s">
        <v>1476</v>
      </c>
      <c r="B282" s="92">
        <f t="shared" si="33"/>
        <v>35.676899999999996</v>
      </c>
      <c r="C282" s="92">
        <f>('Цены на металл '!AA281*'Цены на металл '!$B$4*1.4)+'Цены на металл '!AB281</f>
        <v>39.640999999999998</v>
      </c>
      <c r="D282" s="92">
        <f t="shared" si="34"/>
        <v>43.6051</v>
      </c>
      <c r="E282" s="92">
        <f t="shared" si="35"/>
        <v>47.569199999999995</v>
      </c>
      <c r="F282" s="92">
        <f t="shared" si="35"/>
        <v>52.326119999999996</v>
      </c>
      <c r="G282" s="92">
        <f t="shared" si="35"/>
        <v>57.08303999999999</v>
      </c>
      <c r="H282" s="124">
        <f t="shared" si="30"/>
        <v>79.281999999999996</v>
      </c>
      <c r="I282" s="124">
        <f t="shared" si="31"/>
        <v>87.2102</v>
      </c>
      <c r="J282" s="125">
        <f t="shared" si="32"/>
        <v>118.923</v>
      </c>
    </row>
    <row r="283" spans="1:10" ht="14.95" customHeight="1">
      <c r="A283" s="10" t="s">
        <v>1477</v>
      </c>
      <c r="B283" s="92">
        <f t="shared" si="33"/>
        <v>36.823500000000003</v>
      </c>
      <c r="C283" s="92">
        <f>('Цены на металл '!AA282*'Цены на металл '!$B$4*1.4)+'Цены на металл '!AB282</f>
        <v>40.914999999999999</v>
      </c>
      <c r="D283" s="92">
        <f t="shared" si="34"/>
        <v>45.006500000000003</v>
      </c>
      <c r="E283" s="92">
        <f t="shared" si="35"/>
        <v>49.097999999999999</v>
      </c>
      <c r="F283" s="92">
        <f t="shared" si="35"/>
        <v>54.007800000000003</v>
      </c>
      <c r="G283" s="92">
        <f t="shared" si="35"/>
        <v>58.917599999999993</v>
      </c>
      <c r="H283" s="124">
        <f t="shared" si="30"/>
        <v>81.83</v>
      </c>
      <c r="I283" s="124">
        <f t="shared" si="31"/>
        <v>90.013000000000005</v>
      </c>
      <c r="J283" s="125">
        <f t="shared" si="32"/>
        <v>122.745</v>
      </c>
    </row>
    <row r="284" spans="1:10" ht="14.95" customHeight="1">
      <c r="A284" s="10" t="s">
        <v>1478</v>
      </c>
      <c r="B284" s="92">
        <f t="shared" si="33"/>
        <v>37.970100000000002</v>
      </c>
      <c r="C284" s="92">
        <f>('Цены на металл '!AA283*'Цены на металл '!$B$4*1.4)+'Цены на металл '!AB283</f>
        <v>42.189</v>
      </c>
      <c r="D284" s="92">
        <f t="shared" si="34"/>
        <v>46.407900000000005</v>
      </c>
      <c r="E284" s="92">
        <f t="shared" si="35"/>
        <v>50.626799999999996</v>
      </c>
      <c r="F284" s="92">
        <f t="shared" si="35"/>
        <v>55.689480000000003</v>
      </c>
      <c r="G284" s="92">
        <f t="shared" si="35"/>
        <v>60.752159999999989</v>
      </c>
      <c r="H284" s="124">
        <f t="shared" si="30"/>
        <v>84.378</v>
      </c>
      <c r="I284" s="124">
        <f t="shared" si="31"/>
        <v>92.81580000000001</v>
      </c>
      <c r="J284" s="125">
        <f t="shared" si="32"/>
        <v>126.56700000000001</v>
      </c>
    </row>
    <row r="285" spans="1:10" ht="14.95" customHeight="1">
      <c r="A285" s="10" t="s">
        <v>1479</v>
      </c>
      <c r="B285" s="92">
        <f t="shared" si="33"/>
        <v>39.116700000000002</v>
      </c>
      <c r="C285" s="92">
        <f>('Цены на металл '!AA284*'Цены на металл '!$B$4*1.4)+'Цены на металл '!AB284</f>
        <v>43.463000000000001</v>
      </c>
      <c r="D285" s="92">
        <f t="shared" si="34"/>
        <v>47.809300000000007</v>
      </c>
      <c r="E285" s="92">
        <f t="shared" si="35"/>
        <v>52.1556</v>
      </c>
      <c r="F285" s="92">
        <f t="shared" si="35"/>
        <v>57.37116000000001</v>
      </c>
      <c r="G285" s="92">
        <f t="shared" si="35"/>
        <v>62.58672</v>
      </c>
      <c r="H285" s="124">
        <f t="shared" si="30"/>
        <v>86.926000000000002</v>
      </c>
      <c r="I285" s="124">
        <f t="shared" si="31"/>
        <v>95.618600000000015</v>
      </c>
      <c r="J285" s="125">
        <f t="shared" si="32"/>
        <v>130.38900000000001</v>
      </c>
    </row>
    <row r="286" spans="1:10" ht="14.95" customHeight="1">
      <c r="A286" s="10" t="s">
        <v>1480</v>
      </c>
      <c r="B286" s="92">
        <f t="shared" si="33"/>
        <v>41.4099</v>
      </c>
      <c r="C286" s="92">
        <f>('Цены на металл '!AA285*'Цены на металл '!$B$4*1.4)+'Цены на металл '!AB285</f>
        <v>46.010999999999996</v>
      </c>
      <c r="D286" s="92">
        <f t="shared" si="34"/>
        <v>50.612099999999998</v>
      </c>
      <c r="E286" s="92">
        <f t="shared" si="35"/>
        <v>55.213199999999993</v>
      </c>
      <c r="F286" s="92">
        <f t="shared" si="35"/>
        <v>60.734519999999996</v>
      </c>
      <c r="G286" s="92">
        <f t="shared" si="35"/>
        <v>66.255839999999992</v>
      </c>
      <c r="H286" s="124">
        <f t="shared" si="30"/>
        <v>92.021999999999991</v>
      </c>
      <c r="I286" s="124">
        <f t="shared" si="31"/>
        <v>101.2242</v>
      </c>
      <c r="J286" s="125">
        <f t="shared" si="32"/>
        <v>138.03299999999999</v>
      </c>
    </row>
    <row r="287" spans="1:10" ht="14.95" customHeight="1">
      <c r="A287" s="10" t="s">
        <v>1481</v>
      </c>
      <c r="B287" s="92">
        <f t="shared" si="33"/>
        <v>43.703099999999999</v>
      </c>
      <c r="C287" s="92">
        <f>('Цены на металл '!AA286*'Цены на металл '!$B$4*1.4)+'Цены на металл '!AB286</f>
        <v>48.558999999999997</v>
      </c>
      <c r="D287" s="92">
        <f t="shared" si="34"/>
        <v>53.414900000000003</v>
      </c>
      <c r="E287" s="92">
        <f t="shared" si="35"/>
        <v>58.270799999999994</v>
      </c>
      <c r="F287" s="92">
        <f t="shared" si="35"/>
        <v>64.097880000000004</v>
      </c>
      <c r="G287" s="92">
        <f t="shared" si="35"/>
        <v>69.924959999999984</v>
      </c>
      <c r="H287" s="124">
        <f t="shared" si="30"/>
        <v>97.117999999999995</v>
      </c>
      <c r="I287" s="124">
        <f t="shared" si="31"/>
        <v>106.82980000000001</v>
      </c>
      <c r="J287" s="125">
        <f t="shared" si="32"/>
        <v>145.67699999999999</v>
      </c>
    </row>
    <row r="288" spans="1:10" ht="14.95" customHeight="1">
      <c r="A288" s="9" t="s">
        <v>1539</v>
      </c>
      <c r="B288" s="92">
        <f t="shared" si="33"/>
        <v>0</v>
      </c>
      <c r="C288" s="92">
        <f>('Цены на металл '!AA287*'Цены на металл '!$B$4*1.4)+'Цены на металл '!AB287</f>
        <v>0</v>
      </c>
      <c r="D288" s="92">
        <f t="shared" si="34"/>
        <v>0</v>
      </c>
      <c r="E288" s="92">
        <f t="shared" si="35"/>
        <v>0</v>
      </c>
      <c r="F288" s="92">
        <f t="shared" si="35"/>
        <v>0</v>
      </c>
      <c r="G288" s="92">
        <f t="shared" si="35"/>
        <v>0</v>
      </c>
      <c r="H288" s="124">
        <f t="shared" si="30"/>
        <v>0</v>
      </c>
      <c r="I288" s="124">
        <f t="shared" si="31"/>
        <v>0</v>
      </c>
      <c r="J288" s="125">
        <f t="shared" si="32"/>
        <v>0</v>
      </c>
    </row>
    <row r="289" spans="1:10" ht="14.95" customHeight="1">
      <c r="A289" s="10" t="s">
        <v>1482</v>
      </c>
      <c r="B289" s="92">
        <f t="shared" si="33"/>
        <v>120.28500000000001</v>
      </c>
      <c r="C289" s="92">
        <f>('Цены на металл '!AA288*'Цены на металл '!$B$4*1.4)+'Цены на металл '!AB288</f>
        <v>133.65</v>
      </c>
      <c r="D289" s="92">
        <f t="shared" si="34"/>
        <v>147.01500000000001</v>
      </c>
      <c r="E289" s="92">
        <f t="shared" si="35"/>
        <v>160.38</v>
      </c>
      <c r="F289" s="92">
        <f t="shared" si="35"/>
        <v>176.41800000000001</v>
      </c>
      <c r="G289" s="92">
        <f t="shared" si="35"/>
        <v>192.45599999999999</v>
      </c>
      <c r="H289" s="124">
        <f t="shared" si="30"/>
        <v>267.3</v>
      </c>
      <c r="I289" s="124">
        <f t="shared" si="31"/>
        <v>294.03000000000003</v>
      </c>
      <c r="J289" s="125">
        <f t="shared" si="32"/>
        <v>400.95000000000005</v>
      </c>
    </row>
    <row r="290" spans="1:10" ht="14.95" customHeight="1">
      <c r="A290" s="10" t="s">
        <v>1483</v>
      </c>
      <c r="B290" s="92">
        <f t="shared" si="33"/>
        <v>121.02209999999999</v>
      </c>
      <c r="C290" s="92">
        <f>('Цены на металл '!AA289*'Цены на металл '!$B$4*1.4)+'Цены на металл '!AB289</f>
        <v>134.46899999999999</v>
      </c>
      <c r="D290" s="92">
        <f t="shared" si="34"/>
        <v>147.91589999999999</v>
      </c>
      <c r="E290" s="92">
        <f t="shared" si="35"/>
        <v>161.36279999999999</v>
      </c>
      <c r="F290" s="92">
        <f t="shared" si="35"/>
        <v>177.49907999999999</v>
      </c>
      <c r="G290" s="92">
        <f t="shared" si="35"/>
        <v>193.63535999999999</v>
      </c>
      <c r="H290" s="124">
        <f t="shared" si="30"/>
        <v>268.93799999999999</v>
      </c>
      <c r="I290" s="124">
        <f t="shared" si="31"/>
        <v>295.83179999999999</v>
      </c>
      <c r="J290" s="125">
        <f t="shared" si="32"/>
        <v>403.40699999999998</v>
      </c>
    </row>
    <row r="291" spans="1:10" ht="14.95" customHeight="1">
      <c r="A291" s="10" t="s">
        <v>1484</v>
      </c>
      <c r="B291" s="92">
        <f t="shared" si="33"/>
        <v>121.51349999999999</v>
      </c>
      <c r="C291" s="92">
        <f>('Цены на металл '!AA290*'Цены на металл '!$B$4*1.4)+'Цены на металл '!AB290</f>
        <v>135.01499999999999</v>
      </c>
      <c r="D291" s="92">
        <f t="shared" si="34"/>
        <v>148.51650000000001</v>
      </c>
      <c r="E291" s="92">
        <f t="shared" si="35"/>
        <v>162.01799999999997</v>
      </c>
      <c r="F291" s="92">
        <f t="shared" si="35"/>
        <v>178.21979999999999</v>
      </c>
      <c r="G291" s="92">
        <f t="shared" si="35"/>
        <v>194.42159999999996</v>
      </c>
      <c r="H291" s="124">
        <f t="shared" si="30"/>
        <v>270.02999999999997</v>
      </c>
      <c r="I291" s="124">
        <f t="shared" si="31"/>
        <v>297.03300000000002</v>
      </c>
      <c r="J291" s="125">
        <f t="shared" si="32"/>
        <v>405.04499999999996</v>
      </c>
    </row>
    <row r="292" spans="1:10" ht="14.95" customHeight="1">
      <c r="A292" s="10" t="s">
        <v>1485</v>
      </c>
      <c r="B292" s="92">
        <f t="shared" si="33"/>
        <v>121.923</v>
      </c>
      <c r="C292" s="92">
        <f>('Цены на металл '!AA291*'Цены на металл '!$B$4*1.4)+'Цены на металл '!AB291</f>
        <v>135.47</v>
      </c>
      <c r="D292" s="92">
        <f t="shared" si="34"/>
        <v>149.01700000000002</v>
      </c>
      <c r="E292" s="92">
        <f t="shared" si="35"/>
        <v>162.56399999999999</v>
      </c>
      <c r="F292" s="92">
        <f t="shared" si="35"/>
        <v>178.82040000000003</v>
      </c>
      <c r="G292" s="92">
        <f t="shared" si="35"/>
        <v>195.07679999999999</v>
      </c>
      <c r="H292" s="124">
        <f t="shared" si="30"/>
        <v>270.94</v>
      </c>
      <c r="I292" s="124">
        <f t="shared" si="31"/>
        <v>298.03400000000005</v>
      </c>
      <c r="J292" s="125">
        <f t="shared" si="32"/>
        <v>406.40999999999997</v>
      </c>
    </row>
    <row r="293" spans="1:10" ht="14.95" customHeight="1">
      <c r="A293" s="10" t="s">
        <v>1486</v>
      </c>
      <c r="B293" s="92">
        <f t="shared" si="33"/>
        <v>125.2809</v>
      </c>
      <c r="C293" s="92">
        <f>('Цены на металл '!AA292*'Цены на металл '!$B$4*1.4)+'Цены на металл '!AB292</f>
        <v>139.20099999999999</v>
      </c>
      <c r="D293" s="92">
        <f t="shared" si="34"/>
        <v>153.12110000000001</v>
      </c>
      <c r="E293" s="92">
        <f t="shared" si="35"/>
        <v>167.04119999999998</v>
      </c>
      <c r="F293" s="92">
        <f t="shared" si="35"/>
        <v>183.74532000000002</v>
      </c>
      <c r="G293" s="92">
        <f t="shared" si="35"/>
        <v>200.44943999999995</v>
      </c>
      <c r="H293" s="124">
        <f t="shared" si="30"/>
        <v>278.40199999999999</v>
      </c>
      <c r="I293" s="124">
        <f t="shared" si="31"/>
        <v>306.24220000000003</v>
      </c>
      <c r="J293" s="125">
        <f t="shared" si="32"/>
        <v>417.60299999999995</v>
      </c>
    </row>
    <row r="294" spans="1:10" ht="14.95" customHeight="1">
      <c r="A294" s="10" t="s">
        <v>1487</v>
      </c>
      <c r="B294" s="92">
        <f t="shared" si="33"/>
        <v>126.5094</v>
      </c>
      <c r="C294" s="92">
        <f>('Цены на металл '!AA293*'Цены на металл '!$B$4*1.4)+'Цены на металл '!AB293</f>
        <v>140.566</v>
      </c>
      <c r="D294" s="92">
        <f t="shared" si="34"/>
        <v>154.62260000000001</v>
      </c>
      <c r="E294" s="92">
        <f t="shared" si="35"/>
        <v>168.67920000000001</v>
      </c>
      <c r="F294" s="92">
        <f t="shared" si="35"/>
        <v>185.54712000000001</v>
      </c>
      <c r="G294" s="92">
        <f t="shared" si="35"/>
        <v>202.41504</v>
      </c>
      <c r="H294" s="124">
        <f t="shared" si="30"/>
        <v>281.13200000000001</v>
      </c>
      <c r="I294" s="124">
        <f t="shared" si="31"/>
        <v>309.24520000000001</v>
      </c>
      <c r="J294" s="125">
        <f t="shared" si="32"/>
        <v>421.69799999999998</v>
      </c>
    </row>
    <row r="295" spans="1:10" ht="14.95" customHeight="1">
      <c r="A295" s="10" t="s">
        <v>1488</v>
      </c>
      <c r="B295" s="92">
        <f t="shared" si="33"/>
        <v>128.72069999999999</v>
      </c>
      <c r="C295" s="92">
        <f>('Цены на металл '!AA294*'Цены на металл '!$B$4*1.4)+'Цены на металл '!AB294</f>
        <v>143.023</v>
      </c>
      <c r="D295" s="92">
        <f t="shared" si="34"/>
        <v>157.3253</v>
      </c>
      <c r="E295" s="92">
        <f t="shared" si="35"/>
        <v>171.6276</v>
      </c>
      <c r="F295" s="92">
        <f t="shared" si="35"/>
        <v>188.79035999999999</v>
      </c>
      <c r="G295" s="92">
        <f t="shared" si="35"/>
        <v>205.95311999999998</v>
      </c>
      <c r="H295" s="124">
        <f t="shared" si="30"/>
        <v>286.04599999999999</v>
      </c>
      <c r="I295" s="124">
        <f t="shared" si="31"/>
        <v>314.6506</v>
      </c>
      <c r="J295" s="125">
        <f t="shared" si="32"/>
        <v>429.06899999999996</v>
      </c>
    </row>
    <row r="296" spans="1:10" ht="14.95" customHeight="1">
      <c r="A296" s="10" t="s">
        <v>1489</v>
      </c>
      <c r="B296" s="92">
        <f t="shared" si="33"/>
        <v>131.42340000000002</v>
      </c>
      <c r="C296" s="92">
        <f>('Цены на металл '!AA295*'Цены на металл '!$B$4*1.4)+'Цены на металл '!AB295</f>
        <v>146.02600000000001</v>
      </c>
      <c r="D296" s="92">
        <f t="shared" si="34"/>
        <v>160.62860000000003</v>
      </c>
      <c r="E296" s="92">
        <f t="shared" si="35"/>
        <v>175.2312</v>
      </c>
      <c r="F296" s="92">
        <f t="shared" si="35"/>
        <v>192.75432000000004</v>
      </c>
      <c r="G296" s="92">
        <f t="shared" si="35"/>
        <v>210.27743999999998</v>
      </c>
      <c r="H296" s="124">
        <f t="shared" si="30"/>
        <v>292.05200000000002</v>
      </c>
      <c r="I296" s="124">
        <f t="shared" si="31"/>
        <v>321.25720000000007</v>
      </c>
      <c r="J296" s="125">
        <f t="shared" si="32"/>
        <v>438.07800000000003</v>
      </c>
    </row>
    <row r="297" spans="1:10" ht="14.95" customHeight="1">
      <c r="A297" s="10" t="s">
        <v>1490</v>
      </c>
      <c r="B297" s="92">
        <f t="shared" si="33"/>
        <v>138.5487</v>
      </c>
      <c r="C297" s="92">
        <f>('Цены на металл '!AA296*'Цены на металл '!$B$4*1.4)+'Цены на металл '!AB296</f>
        <v>153.94299999999998</v>
      </c>
      <c r="D297" s="92">
        <f t="shared" si="34"/>
        <v>169.3373</v>
      </c>
      <c r="E297" s="92">
        <f t="shared" si="35"/>
        <v>184.73159999999999</v>
      </c>
      <c r="F297" s="92">
        <f t="shared" si="35"/>
        <v>203.20475999999999</v>
      </c>
      <c r="G297" s="92">
        <f t="shared" si="35"/>
        <v>221.67791999999997</v>
      </c>
      <c r="H297" s="124">
        <f t="shared" si="30"/>
        <v>307.88599999999997</v>
      </c>
      <c r="I297" s="124">
        <f t="shared" si="31"/>
        <v>338.6746</v>
      </c>
      <c r="J297" s="125">
        <f t="shared" si="32"/>
        <v>461.82899999999995</v>
      </c>
    </row>
    <row r="298" spans="1:10" ht="14.95" customHeight="1">
      <c r="A298" s="10" t="s">
        <v>1491</v>
      </c>
      <c r="B298" s="92">
        <f t="shared" si="33"/>
        <v>129.53970000000001</v>
      </c>
      <c r="C298" s="92">
        <f>('Цены на металл '!AA297*'Цены на металл '!$B$4*1.4)+'Цены на металл '!AB297</f>
        <v>143.93299999999999</v>
      </c>
      <c r="D298" s="92">
        <f t="shared" si="34"/>
        <v>158.3263</v>
      </c>
      <c r="E298" s="92">
        <f t="shared" si="35"/>
        <v>172.71959999999999</v>
      </c>
      <c r="F298" s="92">
        <f t="shared" si="35"/>
        <v>189.99155999999999</v>
      </c>
      <c r="G298" s="92">
        <f t="shared" si="35"/>
        <v>207.26351999999997</v>
      </c>
      <c r="H298" s="124">
        <f t="shared" si="30"/>
        <v>287.86599999999999</v>
      </c>
      <c r="I298" s="124">
        <f t="shared" si="31"/>
        <v>316.65260000000001</v>
      </c>
      <c r="J298" s="125">
        <f t="shared" si="32"/>
        <v>431.79899999999998</v>
      </c>
    </row>
    <row r="299" spans="1:10" ht="14.95" customHeight="1">
      <c r="A299" s="10" t="s">
        <v>1492</v>
      </c>
      <c r="B299" s="92">
        <f t="shared" si="33"/>
        <v>137.5659</v>
      </c>
      <c r="C299" s="92">
        <f>('Цены на металл '!AA298*'Цены на металл '!$B$4*1.4)+'Цены на металл '!AB298</f>
        <v>152.851</v>
      </c>
      <c r="D299" s="92">
        <f t="shared" si="34"/>
        <v>168.1361</v>
      </c>
      <c r="E299" s="92">
        <f t="shared" si="35"/>
        <v>183.4212</v>
      </c>
      <c r="F299" s="92">
        <f t="shared" si="35"/>
        <v>201.76331999999999</v>
      </c>
      <c r="G299" s="92">
        <f t="shared" si="35"/>
        <v>220.10543999999999</v>
      </c>
      <c r="H299" s="124">
        <f t="shared" si="30"/>
        <v>305.702</v>
      </c>
      <c r="I299" s="124">
        <f t="shared" si="31"/>
        <v>336.2722</v>
      </c>
      <c r="J299" s="125">
        <f t="shared" si="32"/>
        <v>458.553</v>
      </c>
    </row>
    <row r="300" spans="1:10" ht="14.95" customHeight="1">
      <c r="A300" s="10" t="s">
        <v>1493</v>
      </c>
      <c r="B300" s="92">
        <f t="shared" si="33"/>
        <v>143.5446</v>
      </c>
      <c r="C300" s="92">
        <f>('Цены на металл '!AA299*'Цены на металл '!$B$4*1.4)+'Цены на металл '!AB299</f>
        <v>159.494</v>
      </c>
      <c r="D300" s="92">
        <f t="shared" si="34"/>
        <v>175.44340000000003</v>
      </c>
      <c r="E300" s="92">
        <f t="shared" si="35"/>
        <v>191.39279999999999</v>
      </c>
      <c r="F300" s="92">
        <f t="shared" si="35"/>
        <v>210.53208000000004</v>
      </c>
      <c r="G300" s="92">
        <f t="shared" si="35"/>
        <v>229.67135999999999</v>
      </c>
      <c r="H300" s="124">
        <f t="shared" si="30"/>
        <v>318.988</v>
      </c>
      <c r="I300" s="124">
        <f t="shared" si="31"/>
        <v>350.88680000000005</v>
      </c>
      <c r="J300" s="125">
        <f t="shared" si="32"/>
        <v>478.48199999999997</v>
      </c>
    </row>
    <row r="301" spans="1:10" ht="14.95" customHeight="1">
      <c r="A301" s="10" t="s">
        <v>1494</v>
      </c>
      <c r="B301" s="92">
        <f t="shared" si="33"/>
        <v>161.3169</v>
      </c>
      <c r="C301" s="92">
        <f>('Цены на металл '!AA300*'Цены на металл '!$B$4*1.4)+'Цены на металл '!AB300</f>
        <v>179.24099999999999</v>
      </c>
      <c r="D301" s="92">
        <f t="shared" si="34"/>
        <v>197.1651</v>
      </c>
      <c r="E301" s="92">
        <f t="shared" si="35"/>
        <v>215.08919999999998</v>
      </c>
      <c r="F301" s="92">
        <f t="shared" si="35"/>
        <v>236.59811999999999</v>
      </c>
      <c r="G301" s="92">
        <f t="shared" si="35"/>
        <v>258.10703999999998</v>
      </c>
      <c r="H301" s="124">
        <f t="shared" si="30"/>
        <v>358.48199999999997</v>
      </c>
      <c r="I301" s="124">
        <f t="shared" si="31"/>
        <v>394.33019999999999</v>
      </c>
      <c r="J301" s="125">
        <f t="shared" si="32"/>
        <v>537.72299999999996</v>
      </c>
    </row>
    <row r="302" spans="1:10" ht="14.95" customHeight="1">
      <c r="A302" s="10" t="s">
        <v>1495</v>
      </c>
      <c r="B302" s="92">
        <f t="shared" si="33"/>
        <v>133.79849999999999</v>
      </c>
      <c r="C302" s="92">
        <f>('Цены на металл '!AA301*'Цены на металл '!$B$4*1.4)+'Цены на металл '!AB301</f>
        <v>148.66499999999999</v>
      </c>
      <c r="D302" s="92">
        <f t="shared" si="34"/>
        <v>163.53149999999999</v>
      </c>
      <c r="E302" s="92">
        <f t="shared" si="35"/>
        <v>178.398</v>
      </c>
      <c r="F302" s="92">
        <f t="shared" si="35"/>
        <v>196.23779999999999</v>
      </c>
      <c r="G302" s="92">
        <f t="shared" si="35"/>
        <v>214.07759999999999</v>
      </c>
      <c r="H302" s="124">
        <f t="shared" si="30"/>
        <v>297.33</v>
      </c>
      <c r="I302" s="124">
        <f t="shared" si="31"/>
        <v>327.06299999999999</v>
      </c>
      <c r="J302" s="125">
        <f t="shared" si="32"/>
        <v>445.995</v>
      </c>
    </row>
    <row r="303" spans="1:10" ht="14.95" customHeight="1">
      <c r="A303" s="10" t="s">
        <v>1496</v>
      </c>
      <c r="B303" s="92">
        <f t="shared" si="33"/>
        <v>135.02700000000002</v>
      </c>
      <c r="C303" s="92">
        <f>('Цены на металл '!AA302*'Цены на металл '!$B$4*1.4)+'Цены на металл '!AB302</f>
        <v>150.03</v>
      </c>
      <c r="D303" s="92">
        <f t="shared" si="34"/>
        <v>165.03300000000002</v>
      </c>
      <c r="E303" s="92">
        <f t="shared" si="35"/>
        <v>180.036</v>
      </c>
      <c r="F303" s="92">
        <f t="shared" si="35"/>
        <v>198.03960000000001</v>
      </c>
      <c r="G303" s="92">
        <f t="shared" si="35"/>
        <v>216.04319999999998</v>
      </c>
      <c r="H303" s="124">
        <f t="shared" si="30"/>
        <v>300.06</v>
      </c>
      <c r="I303" s="124">
        <f t="shared" si="31"/>
        <v>330.06600000000003</v>
      </c>
      <c r="J303" s="125">
        <f t="shared" si="32"/>
        <v>450.09000000000003</v>
      </c>
    </row>
    <row r="304" spans="1:10" ht="14.95" customHeight="1">
      <c r="A304" s="10" t="s">
        <v>1497</v>
      </c>
      <c r="B304" s="92">
        <f t="shared" si="33"/>
        <v>139.12199999999999</v>
      </c>
      <c r="C304" s="92">
        <f>('Цены на металл '!AA303*'Цены на металл '!$B$4*1.4)+'Цены на металл '!AB303</f>
        <v>154.57999999999998</v>
      </c>
      <c r="D304" s="92">
        <f t="shared" si="34"/>
        <v>170.03799999999998</v>
      </c>
      <c r="E304" s="92">
        <f t="shared" si="35"/>
        <v>185.49599999999998</v>
      </c>
      <c r="F304" s="92">
        <f t="shared" si="35"/>
        <v>204.04559999999998</v>
      </c>
      <c r="G304" s="92">
        <f t="shared" si="35"/>
        <v>222.59519999999998</v>
      </c>
      <c r="H304" s="124">
        <f t="shared" si="30"/>
        <v>309.15999999999997</v>
      </c>
      <c r="I304" s="124">
        <f t="shared" si="31"/>
        <v>340.07599999999996</v>
      </c>
      <c r="J304" s="125">
        <f t="shared" si="32"/>
        <v>463.73999999999995</v>
      </c>
    </row>
    <row r="305" spans="1:10" ht="14.95" customHeight="1">
      <c r="A305" s="10" t="s">
        <v>1498</v>
      </c>
      <c r="B305" s="92">
        <f t="shared" si="33"/>
        <v>142.23420000000002</v>
      </c>
      <c r="C305" s="92">
        <f>('Цены на металл '!AA304*'Цены на металл '!$B$4*1.4)+'Цены на металл '!AB304</f>
        <v>158.03800000000001</v>
      </c>
      <c r="D305" s="92">
        <f t="shared" si="34"/>
        <v>173.84180000000003</v>
      </c>
      <c r="E305" s="92">
        <f t="shared" si="35"/>
        <v>189.6456</v>
      </c>
      <c r="F305" s="92">
        <f t="shared" si="35"/>
        <v>208.61016000000004</v>
      </c>
      <c r="G305" s="92">
        <f t="shared" si="35"/>
        <v>227.57471999999999</v>
      </c>
      <c r="H305" s="124">
        <f t="shared" si="30"/>
        <v>316.07600000000002</v>
      </c>
      <c r="I305" s="124">
        <f t="shared" si="31"/>
        <v>347.68360000000007</v>
      </c>
      <c r="J305" s="125">
        <f t="shared" si="32"/>
        <v>474.11400000000003</v>
      </c>
    </row>
    <row r="306" spans="1:10" ht="14.95" customHeight="1">
      <c r="A306" s="10" t="s">
        <v>1499</v>
      </c>
      <c r="B306" s="92">
        <f t="shared" si="33"/>
        <v>148.6224</v>
      </c>
      <c r="C306" s="92">
        <f>('Цены на металл '!AA305*'Цены на металл '!$B$4*1.4)+'Цены на металл '!AB305</f>
        <v>165.136</v>
      </c>
      <c r="D306" s="92">
        <f t="shared" si="34"/>
        <v>181.64960000000002</v>
      </c>
      <c r="E306" s="92">
        <f t="shared" si="35"/>
        <v>198.16319999999999</v>
      </c>
      <c r="F306" s="92">
        <f t="shared" si="35"/>
        <v>217.97952000000001</v>
      </c>
      <c r="G306" s="92">
        <f t="shared" si="35"/>
        <v>237.79583999999997</v>
      </c>
      <c r="H306" s="124">
        <f t="shared" si="30"/>
        <v>330.27199999999999</v>
      </c>
      <c r="I306" s="124">
        <f t="shared" si="31"/>
        <v>363.29920000000004</v>
      </c>
      <c r="J306" s="125">
        <f t="shared" si="32"/>
        <v>495.40800000000002</v>
      </c>
    </row>
    <row r="307" spans="1:10" ht="14.95" customHeight="1">
      <c r="A307" s="10" t="s">
        <v>1500</v>
      </c>
      <c r="B307" s="92">
        <f t="shared" si="33"/>
        <v>150.58799999999999</v>
      </c>
      <c r="C307" s="92">
        <f>('Цены на металл '!AA306*'Цены на металл '!$B$4*1.4)+'Цены на металл '!AB306</f>
        <v>167.32</v>
      </c>
      <c r="D307" s="92">
        <f t="shared" si="34"/>
        <v>184.05200000000002</v>
      </c>
      <c r="E307" s="92">
        <f t="shared" si="35"/>
        <v>200.78399999999999</v>
      </c>
      <c r="F307" s="92">
        <f t="shared" si="35"/>
        <v>220.86240000000001</v>
      </c>
      <c r="G307" s="92">
        <f t="shared" si="35"/>
        <v>240.94079999999997</v>
      </c>
      <c r="H307" s="124">
        <f t="shared" si="30"/>
        <v>334.64</v>
      </c>
      <c r="I307" s="124">
        <f t="shared" si="31"/>
        <v>368.10400000000004</v>
      </c>
      <c r="J307" s="125">
        <f t="shared" si="32"/>
        <v>501.96</v>
      </c>
    </row>
    <row r="308" spans="1:10" ht="14.95" customHeight="1">
      <c r="A308" s="10" t="s">
        <v>1501</v>
      </c>
      <c r="B308" s="92">
        <f t="shared" si="33"/>
        <v>188.91719999999998</v>
      </c>
      <c r="C308" s="92">
        <f>('Цены на металл '!AA307*'Цены на металл '!$B$4*1.4)+'Цены на металл '!AB307</f>
        <v>209.90799999999999</v>
      </c>
      <c r="D308" s="92">
        <f t="shared" si="34"/>
        <v>230.89879999999999</v>
      </c>
      <c r="E308" s="92">
        <f t="shared" si="35"/>
        <v>251.88959999999997</v>
      </c>
      <c r="F308" s="92">
        <f t="shared" si="35"/>
        <v>277.07855999999998</v>
      </c>
      <c r="G308" s="92">
        <f t="shared" si="35"/>
        <v>302.26751999999993</v>
      </c>
      <c r="H308" s="124">
        <f t="shared" si="30"/>
        <v>419.81599999999997</v>
      </c>
      <c r="I308" s="124">
        <f t="shared" si="31"/>
        <v>461.79759999999999</v>
      </c>
      <c r="J308" s="125">
        <f t="shared" si="32"/>
        <v>629.72399999999993</v>
      </c>
    </row>
    <row r="309" spans="1:10" ht="14.95" customHeight="1">
      <c r="A309" s="10" t="s">
        <v>1502</v>
      </c>
      <c r="B309" s="92">
        <f t="shared" si="33"/>
        <v>147.31200000000001</v>
      </c>
      <c r="C309" s="92">
        <f>('Цены на металл '!AA308*'Цены на металл '!$B$4*1.4)+'Цены на металл '!AB308</f>
        <v>163.68</v>
      </c>
      <c r="D309" s="92">
        <f t="shared" si="34"/>
        <v>180.04800000000003</v>
      </c>
      <c r="E309" s="92">
        <f t="shared" si="35"/>
        <v>196.416</v>
      </c>
      <c r="F309" s="92">
        <f t="shared" si="35"/>
        <v>216.05760000000004</v>
      </c>
      <c r="G309" s="92">
        <f t="shared" si="35"/>
        <v>235.69919999999999</v>
      </c>
      <c r="H309" s="124">
        <f t="shared" si="30"/>
        <v>327.36</v>
      </c>
      <c r="I309" s="124">
        <f t="shared" si="31"/>
        <v>360.09600000000006</v>
      </c>
      <c r="J309" s="125">
        <f t="shared" si="32"/>
        <v>491.04</v>
      </c>
    </row>
    <row r="310" spans="1:10" ht="14.95" customHeight="1">
      <c r="A310" s="10" t="s">
        <v>1503</v>
      </c>
      <c r="B310" s="92">
        <f t="shared" si="33"/>
        <v>148.95000000000002</v>
      </c>
      <c r="C310" s="92">
        <f>('Цены на металл '!AA309*'Цены на металл '!$B$4*1.4)+'Цены на металл '!AB309</f>
        <v>165.5</v>
      </c>
      <c r="D310" s="92">
        <f t="shared" si="34"/>
        <v>182.05</v>
      </c>
      <c r="E310" s="92">
        <f t="shared" si="35"/>
        <v>198.6</v>
      </c>
      <c r="F310" s="92">
        <f t="shared" si="35"/>
        <v>218.46</v>
      </c>
      <c r="G310" s="92">
        <f t="shared" si="35"/>
        <v>238.32</v>
      </c>
      <c r="H310" s="124">
        <f t="shared" ref="H310:H373" si="36">C310*2</f>
        <v>331</v>
      </c>
      <c r="I310" s="124">
        <f t="shared" ref="I310:I373" si="37">D310*2</f>
        <v>364.1</v>
      </c>
      <c r="J310" s="125">
        <f t="shared" ref="J310:J373" si="38">C310*3</f>
        <v>496.5</v>
      </c>
    </row>
    <row r="311" spans="1:10" ht="14.95" customHeight="1">
      <c r="A311" s="10" t="s">
        <v>1504</v>
      </c>
      <c r="B311" s="92">
        <f t="shared" si="33"/>
        <v>165.32999999999998</v>
      </c>
      <c r="C311" s="92">
        <f>('Цены на металл '!AA310*'Цены на металл '!$B$4*1.4)+'Цены на металл '!AB310</f>
        <v>183.7</v>
      </c>
      <c r="D311" s="92">
        <f t="shared" si="34"/>
        <v>202.07</v>
      </c>
      <c r="E311" s="92">
        <f t="shared" si="35"/>
        <v>220.43999999999997</v>
      </c>
      <c r="F311" s="92">
        <f t="shared" si="35"/>
        <v>242.48399999999998</v>
      </c>
      <c r="G311" s="92">
        <f t="shared" si="35"/>
        <v>264.52799999999996</v>
      </c>
      <c r="H311" s="124">
        <f t="shared" si="36"/>
        <v>367.4</v>
      </c>
      <c r="I311" s="124">
        <f t="shared" si="37"/>
        <v>404.14</v>
      </c>
      <c r="J311" s="125">
        <f t="shared" si="38"/>
        <v>551.09999999999991</v>
      </c>
    </row>
    <row r="312" spans="1:10" ht="14.95" customHeight="1">
      <c r="A312" s="10" t="s">
        <v>1505</v>
      </c>
      <c r="B312" s="92">
        <f t="shared" si="33"/>
        <v>181.70999999999998</v>
      </c>
      <c r="C312" s="92">
        <f>('Цены на металл '!AA311*'Цены на металл '!$B$4*1.4)+'Цены на металл '!AB311</f>
        <v>201.89999999999998</v>
      </c>
      <c r="D312" s="92">
        <f t="shared" si="34"/>
        <v>222.09</v>
      </c>
      <c r="E312" s="92">
        <f t="shared" si="35"/>
        <v>242.27999999999997</v>
      </c>
      <c r="F312" s="92">
        <f t="shared" si="35"/>
        <v>266.50799999999998</v>
      </c>
      <c r="G312" s="92">
        <f t="shared" si="35"/>
        <v>290.73599999999993</v>
      </c>
      <c r="H312" s="124">
        <f t="shared" si="36"/>
        <v>403.79999999999995</v>
      </c>
      <c r="I312" s="124">
        <f t="shared" si="37"/>
        <v>444.18</v>
      </c>
      <c r="J312" s="125">
        <f t="shared" si="38"/>
        <v>605.69999999999993</v>
      </c>
    </row>
    <row r="313" spans="1:10" ht="14.95" customHeight="1">
      <c r="A313" s="10" t="s">
        <v>1506</v>
      </c>
      <c r="B313" s="92">
        <f t="shared" si="33"/>
        <v>189.9</v>
      </c>
      <c r="C313" s="92">
        <f>('Цены на металл '!AA312*'Цены на металл '!$B$4*1.4)+'Цены на металл '!AB312</f>
        <v>211</v>
      </c>
      <c r="D313" s="92">
        <f t="shared" si="34"/>
        <v>232.10000000000002</v>
      </c>
      <c r="E313" s="92">
        <f t="shared" si="35"/>
        <v>253.2</v>
      </c>
      <c r="F313" s="92">
        <f t="shared" si="35"/>
        <v>278.52000000000004</v>
      </c>
      <c r="G313" s="92">
        <f t="shared" si="35"/>
        <v>303.83999999999997</v>
      </c>
      <c r="H313" s="124">
        <f t="shared" si="36"/>
        <v>422</v>
      </c>
      <c r="I313" s="124">
        <f t="shared" si="37"/>
        <v>464.20000000000005</v>
      </c>
      <c r="J313" s="125">
        <f t="shared" si="38"/>
        <v>633</v>
      </c>
    </row>
    <row r="314" spans="1:10" ht="14.95" customHeight="1">
      <c r="A314" s="10" t="s">
        <v>1507</v>
      </c>
      <c r="B314" s="92">
        <f t="shared" si="33"/>
        <v>148.131</v>
      </c>
      <c r="C314" s="92">
        <f>('Цены на металл '!AA313*'Цены на металл '!$B$4*1.4)+'Цены на металл '!AB313</f>
        <v>164.59</v>
      </c>
      <c r="D314" s="92">
        <f t="shared" si="34"/>
        <v>181.04900000000001</v>
      </c>
      <c r="E314" s="92">
        <f t="shared" si="35"/>
        <v>197.50800000000001</v>
      </c>
      <c r="F314" s="92">
        <f t="shared" si="35"/>
        <v>217.25880000000001</v>
      </c>
      <c r="G314" s="92">
        <f t="shared" si="35"/>
        <v>237.00960000000001</v>
      </c>
      <c r="H314" s="124">
        <f t="shared" si="36"/>
        <v>329.18</v>
      </c>
      <c r="I314" s="124">
        <f t="shared" si="37"/>
        <v>362.09800000000001</v>
      </c>
      <c r="J314" s="125">
        <f t="shared" si="38"/>
        <v>493.77</v>
      </c>
    </row>
    <row r="315" spans="1:10" ht="14.95" customHeight="1">
      <c r="A315" s="10" t="s">
        <v>1508</v>
      </c>
      <c r="B315" s="92">
        <f t="shared" si="33"/>
        <v>148.95000000000002</v>
      </c>
      <c r="C315" s="92">
        <f>('Цены на металл '!AA314*'Цены на металл '!$B$4*1.4)+'Цены на металл '!AB314</f>
        <v>165.5</v>
      </c>
      <c r="D315" s="92">
        <f t="shared" si="34"/>
        <v>182.05</v>
      </c>
      <c r="E315" s="92">
        <f t="shared" si="35"/>
        <v>198.6</v>
      </c>
      <c r="F315" s="92">
        <f t="shared" si="35"/>
        <v>218.46</v>
      </c>
      <c r="G315" s="92">
        <f t="shared" si="35"/>
        <v>238.32</v>
      </c>
      <c r="H315" s="124">
        <f t="shared" si="36"/>
        <v>331</v>
      </c>
      <c r="I315" s="124">
        <f t="shared" si="37"/>
        <v>364.1</v>
      </c>
      <c r="J315" s="125">
        <f t="shared" si="38"/>
        <v>496.5</v>
      </c>
    </row>
    <row r="316" spans="1:10" ht="14.95" customHeight="1">
      <c r="A316" s="10" t="s">
        <v>1509</v>
      </c>
      <c r="B316" s="92">
        <f t="shared" si="33"/>
        <v>149.76900000000001</v>
      </c>
      <c r="C316" s="92">
        <f>('Цены на металл '!AA315*'Цены на металл '!$B$4*1.4)+'Цены на металл '!AB315</f>
        <v>166.41</v>
      </c>
      <c r="D316" s="92">
        <f t="shared" si="34"/>
        <v>183.05100000000002</v>
      </c>
      <c r="E316" s="92">
        <f t="shared" si="35"/>
        <v>199.69199999999998</v>
      </c>
      <c r="F316" s="92">
        <f t="shared" si="35"/>
        <v>219.66120000000001</v>
      </c>
      <c r="G316" s="92">
        <f t="shared" si="35"/>
        <v>239.63039999999995</v>
      </c>
      <c r="H316" s="124">
        <f t="shared" si="36"/>
        <v>332.82</v>
      </c>
      <c r="I316" s="124">
        <f t="shared" si="37"/>
        <v>366.10200000000003</v>
      </c>
      <c r="J316" s="125">
        <f t="shared" si="38"/>
        <v>499.23</v>
      </c>
    </row>
    <row r="317" spans="1:10" ht="14.95" customHeight="1">
      <c r="A317" s="10" t="s">
        <v>1510</v>
      </c>
      <c r="B317" s="92">
        <f t="shared" si="33"/>
        <v>151.65269999999998</v>
      </c>
      <c r="C317" s="92">
        <f>('Цены на металл '!AA316*'Цены на металл '!$B$4*1.4)+'Цены на металл '!AB316</f>
        <v>168.50299999999999</v>
      </c>
      <c r="D317" s="92">
        <f t="shared" si="34"/>
        <v>185.35329999999999</v>
      </c>
      <c r="E317" s="92">
        <f t="shared" si="35"/>
        <v>202.20359999999997</v>
      </c>
      <c r="F317" s="92">
        <f t="shared" si="35"/>
        <v>222.42395999999999</v>
      </c>
      <c r="G317" s="92">
        <f t="shared" si="35"/>
        <v>242.64431999999994</v>
      </c>
      <c r="H317" s="124">
        <f t="shared" si="36"/>
        <v>337.00599999999997</v>
      </c>
      <c r="I317" s="124">
        <f t="shared" si="37"/>
        <v>370.70659999999998</v>
      </c>
      <c r="J317" s="125">
        <f t="shared" si="38"/>
        <v>505.50899999999996</v>
      </c>
    </row>
    <row r="318" spans="1:10" ht="14.95" customHeight="1">
      <c r="A318" s="10" t="s">
        <v>1511</v>
      </c>
      <c r="B318" s="92">
        <f t="shared" si="33"/>
        <v>158.6961</v>
      </c>
      <c r="C318" s="92">
        <f>('Цены на металл '!AA317*'Цены на металл '!$B$4*1.4)+'Цены на металл '!AB317</f>
        <v>176.32900000000001</v>
      </c>
      <c r="D318" s="92">
        <f t="shared" si="34"/>
        <v>193.96190000000001</v>
      </c>
      <c r="E318" s="92">
        <f t="shared" si="35"/>
        <v>211.59479999999999</v>
      </c>
      <c r="F318" s="92">
        <f t="shared" si="35"/>
        <v>232.75427999999999</v>
      </c>
      <c r="G318" s="92">
        <f t="shared" si="35"/>
        <v>253.91375999999997</v>
      </c>
      <c r="H318" s="124">
        <f t="shared" si="36"/>
        <v>352.65800000000002</v>
      </c>
      <c r="I318" s="124">
        <f t="shared" si="37"/>
        <v>387.92380000000003</v>
      </c>
      <c r="J318" s="125">
        <f t="shared" si="38"/>
        <v>528.98700000000008</v>
      </c>
    </row>
    <row r="319" spans="1:10" ht="14.95" customHeight="1">
      <c r="A319" s="10" t="s">
        <v>1512</v>
      </c>
      <c r="B319" s="92">
        <f t="shared" si="33"/>
        <v>178.84350000000001</v>
      </c>
      <c r="C319" s="92">
        <f>('Цены на металл '!AA318*'Цены на металл '!$B$4*1.4)+'Цены на металл '!AB318</f>
        <v>198.715</v>
      </c>
      <c r="D319" s="92">
        <f t="shared" si="34"/>
        <v>218.58650000000003</v>
      </c>
      <c r="E319" s="92">
        <f t="shared" si="35"/>
        <v>238.458</v>
      </c>
      <c r="F319" s="92">
        <f t="shared" si="35"/>
        <v>262.30380000000002</v>
      </c>
      <c r="G319" s="92">
        <f t="shared" si="35"/>
        <v>286.14959999999996</v>
      </c>
      <c r="H319" s="124">
        <f t="shared" si="36"/>
        <v>397.43</v>
      </c>
      <c r="I319" s="124">
        <f t="shared" si="37"/>
        <v>437.17300000000006</v>
      </c>
      <c r="J319" s="125">
        <f t="shared" si="38"/>
        <v>596.14499999999998</v>
      </c>
    </row>
    <row r="320" spans="1:10" ht="14.95" customHeight="1">
      <c r="A320" s="10" t="s">
        <v>1513</v>
      </c>
      <c r="B320" s="92">
        <f t="shared" si="33"/>
        <v>195.2235</v>
      </c>
      <c r="C320" s="92">
        <f>('Цены на металл '!AA319*'Цены на металл '!$B$4*1.4)+'Цены на металл '!AB319</f>
        <v>216.91499999999999</v>
      </c>
      <c r="D320" s="92">
        <f t="shared" si="34"/>
        <v>238.60650000000001</v>
      </c>
      <c r="E320" s="92">
        <f t="shared" si="35"/>
        <v>260.298</v>
      </c>
      <c r="F320" s="92">
        <f t="shared" si="35"/>
        <v>286.32780000000002</v>
      </c>
      <c r="G320" s="92">
        <f t="shared" si="35"/>
        <v>312.35759999999999</v>
      </c>
      <c r="H320" s="124">
        <f t="shared" si="36"/>
        <v>433.83</v>
      </c>
      <c r="I320" s="124">
        <f t="shared" si="37"/>
        <v>477.21300000000002</v>
      </c>
      <c r="J320" s="125">
        <f t="shared" si="38"/>
        <v>650.745</v>
      </c>
    </row>
    <row r="321" spans="1:10" ht="14.95" customHeight="1">
      <c r="A321" s="10" t="s">
        <v>1514</v>
      </c>
      <c r="B321" s="92">
        <f t="shared" si="33"/>
        <v>150.91560000000001</v>
      </c>
      <c r="C321" s="92">
        <f>('Цены на металл '!AA320*'Цены на металл '!$B$4*1.4)+'Цены на металл '!AB320</f>
        <v>167.684</v>
      </c>
      <c r="D321" s="92">
        <f t="shared" si="34"/>
        <v>184.45240000000001</v>
      </c>
      <c r="E321" s="92">
        <f t="shared" si="35"/>
        <v>201.2208</v>
      </c>
      <c r="F321" s="92">
        <f t="shared" si="35"/>
        <v>221.34288000000001</v>
      </c>
      <c r="G321" s="92">
        <f t="shared" si="35"/>
        <v>241.46495999999999</v>
      </c>
      <c r="H321" s="124">
        <f t="shared" si="36"/>
        <v>335.36799999999999</v>
      </c>
      <c r="I321" s="124">
        <f t="shared" si="37"/>
        <v>368.90480000000002</v>
      </c>
      <c r="J321" s="125">
        <f t="shared" si="38"/>
        <v>503.05200000000002</v>
      </c>
    </row>
    <row r="322" spans="1:10" ht="14.95" customHeight="1">
      <c r="A322" s="10" t="s">
        <v>1515</v>
      </c>
      <c r="B322" s="92">
        <f t="shared" si="33"/>
        <v>159.10560000000001</v>
      </c>
      <c r="C322" s="92">
        <f>('Цены на металл '!AA321*'Цены на металл '!$B$4*1.4)+'Цены на металл '!AB321</f>
        <v>176.78399999999999</v>
      </c>
      <c r="D322" s="92">
        <f t="shared" si="34"/>
        <v>194.4624</v>
      </c>
      <c r="E322" s="92">
        <f t="shared" si="35"/>
        <v>212.14079999999998</v>
      </c>
      <c r="F322" s="92">
        <f t="shared" si="35"/>
        <v>233.35487999999998</v>
      </c>
      <c r="G322" s="92">
        <f t="shared" si="35"/>
        <v>254.56895999999998</v>
      </c>
      <c r="H322" s="124">
        <f t="shared" si="36"/>
        <v>353.56799999999998</v>
      </c>
      <c r="I322" s="124">
        <f t="shared" si="37"/>
        <v>388.9248</v>
      </c>
      <c r="J322" s="125">
        <f t="shared" si="38"/>
        <v>530.35199999999998</v>
      </c>
    </row>
    <row r="323" spans="1:10" ht="14.95" customHeight="1">
      <c r="A323" s="10" t="s">
        <v>1516</v>
      </c>
      <c r="B323" s="92">
        <f t="shared" si="33"/>
        <v>155.33820000000003</v>
      </c>
      <c r="C323" s="92">
        <f>('Цены на металл '!AA322*'Цены на металл '!$B$4*1.4)+'Цены на металл '!AB322</f>
        <v>172.59800000000001</v>
      </c>
      <c r="D323" s="92">
        <f t="shared" si="34"/>
        <v>189.85780000000003</v>
      </c>
      <c r="E323" s="92">
        <f t="shared" si="35"/>
        <v>207.11760000000001</v>
      </c>
      <c r="F323" s="92">
        <f t="shared" si="35"/>
        <v>227.82936000000004</v>
      </c>
      <c r="G323" s="92">
        <f t="shared" si="35"/>
        <v>248.54112000000001</v>
      </c>
      <c r="H323" s="124">
        <f t="shared" si="36"/>
        <v>345.19600000000003</v>
      </c>
      <c r="I323" s="124">
        <f t="shared" si="37"/>
        <v>379.71560000000005</v>
      </c>
      <c r="J323" s="125">
        <f t="shared" si="38"/>
        <v>517.7940000000001</v>
      </c>
    </row>
    <row r="324" spans="1:10" ht="14.95" customHeight="1">
      <c r="A324" s="10" t="s">
        <v>1517</v>
      </c>
      <c r="B324" s="92">
        <f t="shared" si="33"/>
        <v>163.5282</v>
      </c>
      <c r="C324" s="92">
        <f>('Цены на металл '!AA323*'Цены на металл '!$B$4*1.4)+'Цены на металл '!AB323</f>
        <v>181.69799999999998</v>
      </c>
      <c r="D324" s="92">
        <f t="shared" si="34"/>
        <v>199.86779999999999</v>
      </c>
      <c r="E324" s="92">
        <f t="shared" si="35"/>
        <v>218.03759999999997</v>
      </c>
      <c r="F324" s="92">
        <f t="shared" si="35"/>
        <v>239.84135999999998</v>
      </c>
      <c r="G324" s="92">
        <f t="shared" si="35"/>
        <v>261.64511999999996</v>
      </c>
      <c r="H324" s="124">
        <f t="shared" si="36"/>
        <v>363.39599999999996</v>
      </c>
      <c r="I324" s="124">
        <f t="shared" si="37"/>
        <v>399.73559999999998</v>
      </c>
      <c r="J324" s="125">
        <f t="shared" si="38"/>
        <v>545.09399999999994</v>
      </c>
    </row>
    <row r="325" spans="1:10" ht="14.95" customHeight="1">
      <c r="A325" s="10" t="s">
        <v>1518</v>
      </c>
      <c r="B325" s="92">
        <f t="shared" ref="B325:B388" si="39">C325*0.9</f>
        <v>168.7698</v>
      </c>
      <c r="C325" s="92">
        <f>('Цены на металл '!AA324*'Цены на металл '!$B$4*1.4)+'Цены на металл '!AB324</f>
        <v>187.52199999999999</v>
      </c>
      <c r="D325" s="92">
        <f t="shared" ref="D325:D388" si="40">C325*1.1</f>
        <v>206.27420000000001</v>
      </c>
      <c r="E325" s="92">
        <f t="shared" ref="E325:G388" si="41">C325*1.2</f>
        <v>225.0264</v>
      </c>
      <c r="F325" s="92">
        <f t="shared" si="41"/>
        <v>247.52904000000001</v>
      </c>
      <c r="G325" s="92">
        <f t="shared" si="41"/>
        <v>270.03167999999999</v>
      </c>
      <c r="H325" s="124">
        <f t="shared" si="36"/>
        <v>375.04399999999998</v>
      </c>
      <c r="I325" s="124">
        <f t="shared" si="37"/>
        <v>412.54840000000002</v>
      </c>
      <c r="J325" s="125">
        <f t="shared" si="38"/>
        <v>562.56600000000003</v>
      </c>
    </row>
    <row r="326" spans="1:10" ht="14.95" customHeight="1">
      <c r="A326" s="10" t="s">
        <v>1519</v>
      </c>
      <c r="B326" s="92">
        <f t="shared" si="39"/>
        <v>185.1498</v>
      </c>
      <c r="C326" s="92">
        <f>('Цены на металл '!AA325*'Цены на металл '!$B$4*1.4)+'Цены на металл '!AB325</f>
        <v>205.72199999999998</v>
      </c>
      <c r="D326" s="92">
        <f t="shared" si="40"/>
        <v>226.29419999999999</v>
      </c>
      <c r="E326" s="92">
        <f t="shared" si="41"/>
        <v>246.86639999999997</v>
      </c>
      <c r="F326" s="92">
        <f t="shared" si="41"/>
        <v>271.55303999999995</v>
      </c>
      <c r="G326" s="92">
        <f t="shared" si="41"/>
        <v>296.23967999999996</v>
      </c>
      <c r="H326" s="124">
        <f t="shared" si="36"/>
        <v>411.44399999999996</v>
      </c>
      <c r="I326" s="124">
        <f t="shared" si="37"/>
        <v>452.58839999999998</v>
      </c>
      <c r="J326" s="125">
        <f t="shared" si="38"/>
        <v>617.16599999999994</v>
      </c>
    </row>
    <row r="327" spans="1:10" ht="14.95" customHeight="1">
      <c r="A327" s="10" t="s">
        <v>1520</v>
      </c>
      <c r="B327" s="92">
        <f t="shared" si="39"/>
        <v>201.52979999999997</v>
      </c>
      <c r="C327" s="92">
        <f>('Цены на металл '!AA326*'Цены на металл '!$B$4*1.4)+'Цены на металл '!AB326</f>
        <v>223.92199999999997</v>
      </c>
      <c r="D327" s="92">
        <f t="shared" si="40"/>
        <v>246.31419999999997</v>
      </c>
      <c r="E327" s="92">
        <f t="shared" si="41"/>
        <v>268.70639999999997</v>
      </c>
      <c r="F327" s="92">
        <f t="shared" si="41"/>
        <v>295.57703999999995</v>
      </c>
      <c r="G327" s="92">
        <f t="shared" si="41"/>
        <v>322.44767999999993</v>
      </c>
      <c r="H327" s="124">
        <f t="shared" si="36"/>
        <v>447.84399999999994</v>
      </c>
      <c r="I327" s="124">
        <f t="shared" si="37"/>
        <v>492.62839999999994</v>
      </c>
      <c r="J327" s="125">
        <f t="shared" si="38"/>
        <v>671.76599999999985</v>
      </c>
    </row>
    <row r="328" spans="1:10" ht="14.95" customHeight="1">
      <c r="A328" s="10" t="s">
        <v>1521</v>
      </c>
      <c r="B328" s="92">
        <f t="shared" si="39"/>
        <v>168.7698</v>
      </c>
      <c r="C328" s="92">
        <f>('Цены на металл '!AA327*'Цены на металл '!$B$4*1.4)+'Цены на металл '!AB327</f>
        <v>187.52199999999999</v>
      </c>
      <c r="D328" s="92">
        <f t="shared" si="40"/>
        <v>206.27420000000001</v>
      </c>
      <c r="E328" s="92">
        <f t="shared" si="41"/>
        <v>225.0264</v>
      </c>
      <c r="F328" s="92">
        <f t="shared" si="41"/>
        <v>247.52904000000001</v>
      </c>
      <c r="G328" s="92">
        <f t="shared" si="41"/>
        <v>270.03167999999999</v>
      </c>
      <c r="H328" s="124">
        <f t="shared" si="36"/>
        <v>375.04399999999998</v>
      </c>
      <c r="I328" s="124">
        <f t="shared" si="37"/>
        <v>412.54840000000002</v>
      </c>
      <c r="J328" s="125">
        <f t="shared" si="38"/>
        <v>562.56600000000003</v>
      </c>
    </row>
    <row r="329" spans="1:10" ht="14.95" customHeight="1">
      <c r="A329" s="10" t="s">
        <v>1522</v>
      </c>
      <c r="B329" s="92">
        <f t="shared" si="39"/>
        <v>185.1498</v>
      </c>
      <c r="C329" s="92">
        <f>('Цены на металл '!AA328*'Цены на металл '!$B$4*1.4)+'Цены на металл '!AB328</f>
        <v>205.72199999999998</v>
      </c>
      <c r="D329" s="92">
        <f t="shared" si="40"/>
        <v>226.29419999999999</v>
      </c>
      <c r="E329" s="92">
        <f t="shared" si="41"/>
        <v>246.86639999999997</v>
      </c>
      <c r="F329" s="92">
        <f t="shared" si="41"/>
        <v>271.55303999999995</v>
      </c>
      <c r="G329" s="92">
        <f t="shared" si="41"/>
        <v>296.23967999999996</v>
      </c>
      <c r="H329" s="124">
        <f t="shared" si="36"/>
        <v>411.44399999999996</v>
      </c>
      <c r="I329" s="124">
        <f t="shared" si="37"/>
        <v>452.58839999999998</v>
      </c>
      <c r="J329" s="125">
        <f t="shared" si="38"/>
        <v>617.16599999999994</v>
      </c>
    </row>
    <row r="330" spans="1:10" ht="14.95" customHeight="1">
      <c r="A330" s="10" t="s">
        <v>1523</v>
      </c>
      <c r="B330" s="92">
        <f t="shared" si="39"/>
        <v>201.77549999999999</v>
      </c>
      <c r="C330" s="92">
        <f>('Цены на металл '!AA329*'Цены на металл '!$B$4*1.4)+'Цены на металл '!AB329</f>
        <v>224.19499999999999</v>
      </c>
      <c r="D330" s="92">
        <f t="shared" si="40"/>
        <v>246.61450000000002</v>
      </c>
      <c r="E330" s="92">
        <f t="shared" si="41"/>
        <v>269.03399999999999</v>
      </c>
      <c r="F330" s="92">
        <f t="shared" si="41"/>
        <v>295.93740000000003</v>
      </c>
      <c r="G330" s="92">
        <f t="shared" si="41"/>
        <v>322.8408</v>
      </c>
      <c r="H330" s="124">
        <f t="shared" si="36"/>
        <v>448.39</v>
      </c>
      <c r="I330" s="124">
        <f t="shared" si="37"/>
        <v>493.22900000000004</v>
      </c>
      <c r="J330" s="125">
        <f t="shared" si="38"/>
        <v>672.58500000000004</v>
      </c>
    </row>
    <row r="331" spans="1:10" ht="14.95" customHeight="1">
      <c r="A331" s="10" t="s">
        <v>1524</v>
      </c>
      <c r="B331" s="92">
        <f t="shared" si="39"/>
        <v>170.40779999999998</v>
      </c>
      <c r="C331" s="92">
        <f>('Цены на металл '!AA330*'Цены на металл '!$B$4*1.4)+'Цены на металл '!AB330</f>
        <v>189.34199999999998</v>
      </c>
      <c r="D331" s="92">
        <f t="shared" si="40"/>
        <v>208.27619999999999</v>
      </c>
      <c r="E331" s="92">
        <f t="shared" si="41"/>
        <v>227.21039999999996</v>
      </c>
      <c r="F331" s="92">
        <f t="shared" si="41"/>
        <v>249.93143999999998</v>
      </c>
      <c r="G331" s="92">
        <f t="shared" si="41"/>
        <v>272.65247999999997</v>
      </c>
      <c r="H331" s="124">
        <f t="shared" si="36"/>
        <v>378.68399999999997</v>
      </c>
      <c r="I331" s="124">
        <f t="shared" si="37"/>
        <v>416.55239999999998</v>
      </c>
      <c r="J331" s="125">
        <f t="shared" si="38"/>
        <v>568.02599999999995</v>
      </c>
    </row>
    <row r="332" spans="1:10" ht="14.95" customHeight="1">
      <c r="A332" s="10" t="s">
        <v>1525</v>
      </c>
      <c r="B332" s="92">
        <f t="shared" si="39"/>
        <v>155.33820000000003</v>
      </c>
      <c r="C332" s="92">
        <f>('Цены на металл '!AA331*'Цены на металл '!$B$4*1.4)+'Цены на металл '!AB331</f>
        <v>172.59800000000001</v>
      </c>
      <c r="D332" s="92">
        <f t="shared" si="40"/>
        <v>189.85780000000003</v>
      </c>
      <c r="E332" s="92">
        <f t="shared" si="41"/>
        <v>207.11760000000001</v>
      </c>
      <c r="F332" s="92">
        <f t="shared" si="41"/>
        <v>227.82936000000004</v>
      </c>
      <c r="G332" s="92">
        <f t="shared" si="41"/>
        <v>248.54112000000001</v>
      </c>
      <c r="H332" s="124">
        <f t="shared" si="36"/>
        <v>345.19600000000003</v>
      </c>
      <c r="I332" s="124">
        <f t="shared" si="37"/>
        <v>379.71560000000005</v>
      </c>
      <c r="J332" s="125">
        <f t="shared" si="38"/>
        <v>517.7940000000001</v>
      </c>
    </row>
    <row r="333" spans="1:10" ht="14.95" customHeight="1">
      <c r="A333" s="10" t="s">
        <v>1526</v>
      </c>
      <c r="B333" s="92">
        <f t="shared" si="39"/>
        <v>171.7182</v>
      </c>
      <c r="C333" s="92">
        <f>('Цены на металл '!AA332*'Цены на металл '!$B$4*1.4)+'Цены на металл '!AB332</f>
        <v>190.798</v>
      </c>
      <c r="D333" s="92">
        <f t="shared" si="40"/>
        <v>209.87780000000001</v>
      </c>
      <c r="E333" s="92">
        <f t="shared" si="41"/>
        <v>228.95759999999999</v>
      </c>
      <c r="F333" s="92">
        <f t="shared" si="41"/>
        <v>251.85336000000001</v>
      </c>
      <c r="G333" s="92">
        <f t="shared" si="41"/>
        <v>274.74911999999995</v>
      </c>
      <c r="H333" s="124">
        <f t="shared" si="36"/>
        <v>381.596</v>
      </c>
      <c r="I333" s="124">
        <f t="shared" si="37"/>
        <v>419.75560000000002</v>
      </c>
      <c r="J333" s="125">
        <f t="shared" si="38"/>
        <v>572.39400000000001</v>
      </c>
    </row>
    <row r="334" spans="1:10" ht="14.95" customHeight="1">
      <c r="A334" s="10" t="s">
        <v>1527</v>
      </c>
      <c r="B334" s="92">
        <f t="shared" si="39"/>
        <v>188.91719999999998</v>
      </c>
      <c r="C334" s="92">
        <f>('Цены на металл '!AA333*'Цены на металл '!$B$4*1.4)+'Цены на металл '!AB333</f>
        <v>209.90799999999999</v>
      </c>
      <c r="D334" s="92">
        <f t="shared" si="40"/>
        <v>230.89879999999999</v>
      </c>
      <c r="E334" s="92">
        <f t="shared" si="41"/>
        <v>251.88959999999997</v>
      </c>
      <c r="F334" s="92">
        <f t="shared" si="41"/>
        <v>277.07855999999998</v>
      </c>
      <c r="G334" s="92">
        <f t="shared" si="41"/>
        <v>302.26751999999993</v>
      </c>
      <c r="H334" s="124">
        <f t="shared" si="36"/>
        <v>419.81599999999997</v>
      </c>
      <c r="I334" s="124">
        <f t="shared" si="37"/>
        <v>461.79759999999999</v>
      </c>
      <c r="J334" s="125">
        <f t="shared" si="38"/>
        <v>629.72399999999993</v>
      </c>
    </row>
    <row r="335" spans="1:10" ht="14.95" customHeight="1">
      <c r="A335" s="9" t="s">
        <v>1540</v>
      </c>
      <c r="B335" s="92">
        <f t="shared" si="39"/>
        <v>0</v>
      </c>
      <c r="C335" s="92">
        <f>('Цены на металл '!AA334*'Цены на металл '!$B$4*1.4)+'Цены на металл '!AB334</f>
        <v>0</v>
      </c>
      <c r="D335" s="92">
        <f t="shared" si="40"/>
        <v>0</v>
      </c>
      <c r="E335" s="92">
        <f t="shared" si="41"/>
        <v>0</v>
      </c>
      <c r="F335" s="92">
        <f t="shared" si="41"/>
        <v>0</v>
      </c>
      <c r="G335" s="92">
        <f t="shared" si="41"/>
        <v>0</v>
      </c>
      <c r="H335" s="124">
        <f t="shared" si="36"/>
        <v>0</v>
      </c>
      <c r="I335" s="124">
        <f t="shared" si="37"/>
        <v>0</v>
      </c>
      <c r="J335" s="125">
        <f t="shared" si="38"/>
        <v>0</v>
      </c>
    </row>
    <row r="336" spans="1:10" ht="14.95" customHeight="1">
      <c r="A336" s="10" t="s">
        <v>1528</v>
      </c>
      <c r="B336" s="92">
        <f t="shared" si="39"/>
        <v>33.3018</v>
      </c>
      <c r="C336" s="92">
        <f>('Цены на металл '!AA335*'Цены на металл '!$B$4*1.4)+'Цены на металл '!AB335</f>
        <v>37.002000000000002</v>
      </c>
      <c r="D336" s="92">
        <f t="shared" si="40"/>
        <v>40.702200000000005</v>
      </c>
      <c r="E336" s="92">
        <f t="shared" si="41"/>
        <v>44.4024</v>
      </c>
      <c r="F336" s="92">
        <f t="shared" si="41"/>
        <v>48.842640000000003</v>
      </c>
      <c r="G336" s="92">
        <f t="shared" si="41"/>
        <v>53.282879999999999</v>
      </c>
      <c r="H336" s="124">
        <f t="shared" si="36"/>
        <v>74.004000000000005</v>
      </c>
      <c r="I336" s="124">
        <f t="shared" si="37"/>
        <v>81.40440000000001</v>
      </c>
      <c r="J336" s="125">
        <f t="shared" si="38"/>
        <v>111.006</v>
      </c>
    </row>
    <row r="337" spans="1:10" ht="14.95" customHeight="1">
      <c r="A337" s="10" t="s">
        <v>1529</v>
      </c>
      <c r="B337" s="92">
        <f t="shared" si="39"/>
        <v>33.957000000000001</v>
      </c>
      <c r="C337" s="92">
        <f>('Цены на металл '!AA336*'Цены на металл '!$B$4*1.4)+'Цены на металл '!AB336</f>
        <v>37.729999999999997</v>
      </c>
      <c r="D337" s="92">
        <f t="shared" si="40"/>
        <v>41.503</v>
      </c>
      <c r="E337" s="92">
        <f t="shared" si="41"/>
        <v>45.275999999999996</v>
      </c>
      <c r="F337" s="92">
        <f t="shared" si="41"/>
        <v>49.803599999999996</v>
      </c>
      <c r="G337" s="92">
        <f t="shared" si="41"/>
        <v>54.331199999999995</v>
      </c>
      <c r="H337" s="124">
        <f t="shared" si="36"/>
        <v>75.459999999999994</v>
      </c>
      <c r="I337" s="124">
        <f t="shared" si="37"/>
        <v>83.006</v>
      </c>
      <c r="J337" s="125">
        <f t="shared" si="38"/>
        <v>113.19</v>
      </c>
    </row>
    <row r="338" spans="1:10" ht="14.95" customHeight="1">
      <c r="A338" s="10" t="s">
        <v>1530</v>
      </c>
      <c r="B338" s="92">
        <f t="shared" si="39"/>
        <v>34.448399999999999</v>
      </c>
      <c r="C338" s="92">
        <f>('Цены на металл '!AA337*'Цены на металл '!$B$4*1.4)+'Цены на металл '!AB337</f>
        <v>38.275999999999996</v>
      </c>
      <c r="D338" s="92">
        <f t="shared" si="40"/>
        <v>42.1036</v>
      </c>
      <c r="E338" s="92">
        <f t="shared" si="41"/>
        <v>45.931199999999997</v>
      </c>
      <c r="F338" s="92">
        <f t="shared" si="41"/>
        <v>50.524319999999996</v>
      </c>
      <c r="G338" s="92">
        <f t="shared" si="41"/>
        <v>55.117439999999995</v>
      </c>
      <c r="H338" s="124">
        <f t="shared" si="36"/>
        <v>76.551999999999992</v>
      </c>
      <c r="I338" s="124">
        <f t="shared" si="37"/>
        <v>84.2072</v>
      </c>
      <c r="J338" s="125">
        <f t="shared" si="38"/>
        <v>114.82799999999999</v>
      </c>
    </row>
    <row r="339" spans="1:10" ht="14.95" customHeight="1">
      <c r="A339" s="10" t="s">
        <v>1531</v>
      </c>
      <c r="B339" s="92">
        <f t="shared" si="39"/>
        <v>35.676899999999996</v>
      </c>
      <c r="C339" s="92">
        <f>('Цены на металл '!AA338*'Цены на металл '!$B$4*1.4)+'Цены на металл '!AB338</f>
        <v>39.640999999999998</v>
      </c>
      <c r="D339" s="92">
        <f t="shared" si="40"/>
        <v>43.6051</v>
      </c>
      <c r="E339" s="92">
        <f t="shared" si="41"/>
        <v>47.569199999999995</v>
      </c>
      <c r="F339" s="92">
        <f t="shared" si="41"/>
        <v>52.326119999999996</v>
      </c>
      <c r="G339" s="92">
        <f t="shared" si="41"/>
        <v>57.08303999999999</v>
      </c>
      <c r="H339" s="124">
        <f t="shared" si="36"/>
        <v>79.281999999999996</v>
      </c>
      <c r="I339" s="124">
        <f t="shared" si="37"/>
        <v>87.2102</v>
      </c>
      <c r="J339" s="125">
        <f t="shared" si="38"/>
        <v>118.923</v>
      </c>
    </row>
    <row r="340" spans="1:10" ht="14.95" customHeight="1">
      <c r="A340" s="10" t="s">
        <v>1532</v>
      </c>
      <c r="B340" s="92">
        <f t="shared" si="39"/>
        <v>36.823500000000003</v>
      </c>
      <c r="C340" s="92">
        <f>('Цены на металл '!AA339*'Цены на металл '!$B$4*1.4)+'Цены на металл '!AB339</f>
        <v>40.914999999999999</v>
      </c>
      <c r="D340" s="92">
        <f t="shared" si="40"/>
        <v>45.006500000000003</v>
      </c>
      <c r="E340" s="92">
        <f t="shared" si="41"/>
        <v>49.097999999999999</v>
      </c>
      <c r="F340" s="92">
        <f t="shared" si="41"/>
        <v>54.007800000000003</v>
      </c>
      <c r="G340" s="92">
        <f t="shared" si="41"/>
        <v>58.917599999999993</v>
      </c>
      <c r="H340" s="124">
        <f t="shared" si="36"/>
        <v>81.83</v>
      </c>
      <c r="I340" s="124">
        <f t="shared" si="37"/>
        <v>90.013000000000005</v>
      </c>
      <c r="J340" s="125">
        <f t="shared" si="38"/>
        <v>122.745</v>
      </c>
    </row>
    <row r="341" spans="1:10" ht="14.95" customHeight="1">
      <c r="A341" s="10" t="s">
        <v>1533</v>
      </c>
      <c r="B341" s="92">
        <f t="shared" si="39"/>
        <v>38.052</v>
      </c>
      <c r="C341" s="92">
        <f>('Цены на металл '!AA340*'Цены на металл '!$B$4*1.4)+'Цены на металл '!AB340</f>
        <v>42.28</v>
      </c>
      <c r="D341" s="92">
        <f t="shared" si="40"/>
        <v>46.508000000000003</v>
      </c>
      <c r="E341" s="92">
        <f t="shared" si="41"/>
        <v>50.735999999999997</v>
      </c>
      <c r="F341" s="92">
        <f t="shared" si="41"/>
        <v>55.809600000000003</v>
      </c>
      <c r="G341" s="92">
        <f t="shared" si="41"/>
        <v>60.883199999999995</v>
      </c>
      <c r="H341" s="124">
        <f t="shared" si="36"/>
        <v>84.56</v>
      </c>
      <c r="I341" s="124">
        <f t="shared" si="37"/>
        <v>93.016000000000005</v>
      </c>
      <c r="J341" s="125">
        <f t="shared" si="38"/>
        <v>126.84</v>
      </c>
    </row>
    <row r="342" spans="1:10" ht="14.95" customHeight="1">
      <c r="A342" s="10" t="s">
        <v>1534</v>
      </c>
      <c r="B342" s="92">
        <f t="shared" si="39"/>
        <v>39.116700000000002</v>
      </c>
      <c r="C342" s="92">
        <f>('Цены на металл '!AA341*'Цены на металл '!$B$4*1.4)+'Цены на металл '!AB341</f>
        <v>43.463000000000001</v>
      </c>
      <c r="D342" s="92">
        <f t="shared" si="40"/>
        <v>47.809300000000007</v>
      </c>
      <c r="E342" s="92">
        <f t="shared" si="41"/>
        <v>52.1556</v>
      </c>
      <c r="F342" s="92">
        <f t="shared" si="41"/>
        <v>57.37116000000001</v>
      </c>
      <c r="G342" s="92">
        <f t="shared" si="41"/>
        <v>62.58672</v>
      </c>
      <c r="H342" s="124">
        <f t="shared" si="36"/>
        <v>86.926000000000002</v>
      </c>
      <c r="I342" s="124">
        <f t="shared" si="37"/>
        <v>95.618600000000015</v>
      </c>
      <c r="J342" s="125">
        <f t="shared" si="38"/>
        <v>130.38900000000001</v>
      </c>
    </row>
    <row r="343" spans="1:10" ht="14.95" customHeight="1">
      <c r="A343" s="10" t="s">
        <v>1535</v>
      </c>
      <c r="B343" s="92">
        <f t="shared" si="39"/>
        <v>41.4099</v>
      </c>
      <c r="C343" s="92">
        <f>('Цены на металл '!AA342*'Цены на металл '!$B$4*1.4)+'Цены на металл '!AB342</f>
        <v>46.010999999999996</v>
      </c>
      <c r="D343" s="92">
        <f t="shared" si="40"/>
        <v>50.612099999999998</v>
      </c>
      <c r="E343" s="92">
        <f t="shared" si="41"/>
        <v>55.213199999999993</v>
      </c>
      <c r="F343" s="92">
        <f t="shared" si="41"/>
        <v>60.734519999999996</v>
      </c>
      <c r="G343" s="92">
        <f t="shared" si="41"/>
        <v>66.255839999999992</v>
      </c>
      <c r="H343" s="124">
        <f t="shared" si="36"/>
        <v>92.021999999999991</v>
      </c>
      <c r="I343" s="124">
        <f t="shared" si="37"/>
        <v>101.2242</v>
      </c>
      <c r="J343" s="125">
        <f t="shared" si="38"/>
        <v>138.03299999999999</v>
      </c>
    </row>
    <row r="344" spans="1:10" ht="14.95" customHeight="1">
      <c r="A344" s="10" t="s">
        <v>1536</v>
      </c>
      <c r="B344" s="92">
        <f t="shared" si="39"/>
        <v>43.703099999999999</v>
      </c>
      <c r="C344" s="92">
        <f>('Цены на металл '!AA343*'Цены на металл '!$B$4*1.4)+'Цены на металл '!AB343</f>
        <v>48.558999999999997</v>
      </c>
      <c r="D344" s="92">
        <f t="shared" si="40"/>
        <v>53.414900000000003</v>
      </c>
      <c r="E344" s="92">
        <f t="shared" si="41"/>
        <v>58.270799999999994</v>
      </c>
      <c r="F344" s="92">
        <f t="shared" si="41"/>
        <v>64.097880000000004</v>
      </c>
      <c r="G344" s="92">
        <f t="shared" si="41"/>
        <v>69.924959999999984</v>
      </c>
      <c r="H344" s="124">
        <f t="shared" si="36"/>
        <v>97.117999999999995</v>
      </c>
      <c r="I344" s="124">
        <f t="shared" si="37"/>
        <v>106.82980000000001</v>
      </c>
      <c r="J344" s="125">
        <f t="shared" si="38"/>
        <v>145.67699999999999</v>
      </c>
    </row>
    <row r="345" spans="1:10" ht="14.95" customHeight="1">
      <c r="A345" s="26" t="s">
        <v>1587</v>
      </c>
      <c r="B345" s="92">
        <f t="shared" si="39"/>
        <v>0</v>
      </c>
      <c r="C345" s="92">
        <f>('Цены на металл '!AA344*'Цены на металл '!$B$4*1.4)+'Цены на металл '!AB344</f>
        <v>0</v>
      </c>
      <c r="D345" s="92">
        <f t="shared" si="40"/>
        <v>0</v>
      </c>
      <c r="E345" s="92">
        <f t="shared" si="41"/>
        <v>0</v>
      </c>
      <c r="F345" s="92">
        <f t="shared" si="41"/>
        <v>0</v>
      </c>
      <c r="G345" s="92">
        <f t="shared" si="41"/>
        <v>0</v>
      </c>
      <c r="H345" s="124">
        <f t="shared" si="36"/>
        <v>0</v>
      </c>
      <c r="I345" s="124">
        <f t="shared" si="37"/>
        <v>0</v>
      </c>
      <c r="J345" s="125">
        <f t="shared" si="38"/>
        <v>0</v>
      </c>
    </row>
    <row r="346" spans="1:10" ht="14.95" customHeight="1">
      <c r="A346" s="10" t="s">
        <v>1541</v>
      </c>
      <c r="B346" s="92">
        <f t="shared" si="39"/>
        <v>180.34560000000002</v>
      </c>
      <c r="C346" s="92">
        <f>('Цены на металл '!AA345*'Цены на металл '!$B$4*1.4)+'Цены на металл '!AB345</f>
        <v>200.38400000000001</v>
      </c>
      <c r="D346" s="92">
        <f t="shared" si="40"/>
        <v>220.42240000000004</v>
      </c>
      <c r="E346" s="92">
        <f t="shared" si="41"/>
        <v>240.46080000000001</v>
      </c>
      <c r="F346" s="92">
        <f t="shared" si="41"/>
        <v>264.50688000000002</v>
      </c>
      <c r="G346" s="92">
        <f t="shared" si="41"/>
        <v>288.55295999999998</v>
      </c>
      <c r="H346" s="124">
        <f t="shared" si="36"/>
        <v>400.76800000000003</v>
      </c>
      <c r="I346" s="124">
        <f t="shared" si="37"/>
        <v>440.84480000000008</v>
      </c>
      <c r="J346" s="125">
        <f t="shared" si="38"/>
        <v>601.15200000000004</v>
      </c>
    </row>
    <row r="347" spans="1:10" ht="14.95" customHeight="1">
      <c r="A347" s="10" t="s">
        <v>1542</v>
      </c>
      <c r="B347" s="92">
        <f t="shared" si="39"/>
        <v>185.0958</v>
      </c>
      <c r="C347" s="92">
        <f>('Цены на металл '!AA346*'Цены на металл '!$B$4*1.4)+'Цены на металл '!AB346</f>
        <v>205.66200000000001</v>
      </c>
      <c r="D347" s="92">
        <f t="shared" si="40"/>
        <v>226.22820000000002</v>
      </c>
      <c r="E347" s="92">
        <f t="shared" si="41"/>
        <v>246.7944</v>
      </c>
      <c r="F347" s="92">
        <f t="shared" si="41"/>
        <v>271.47384</v>
      </c>
      <c r="G347" s="92">
        <f t="shared" si="41"/>
        <v>296.15328</v>
      </c>
      <c r="H347" s="124">
        <f t="shared" si="36"/>
        <v>411.32400000000001</v>
      </c>
      <c r="I347" s="124">
        <f t="shared" si="37"/>
        <v>452.45640000000003</v>
      </c>
      <c r="J347" s="125">
        <f t="shared" si="38"/>
        <v>616.98599999999999</v>
      </c>
    </row>
    <row r="348" spans="1:10" ht="14.95" customHeight="1">
      <c r="A348" s="10" t="s">
        <v>1543</v>
      </c>
      <c r="B348" s="92">
        <f t="shared" si="39"/>
        <v>189.1908</v>
      </c>
      <c r="C348" s="92">
        <f>('Цены на металл '!AA347*'Цены на металл '!$B$4*1.4)+'Цены на металл '!AB347</f>
        <v>210.21199999999999</v>
      </c>
      <c r="D348" s="92">
        <f t="shared" si="40"/>
        <v>231.23320000000001</v>
      </c>
      <c r="E348" s="92">
        <f t="shared" si="41"/>
        <v>252.25439999999998</v>
      </c>
      <c r="F348" s="92">
        <f t="shared" si="41"/>
        <v>277.47984000000002</v>
      </c>
      <c r="G348" s="92">
        <f t="shared" si="41"/>
        <v>302.70527999999996</v>
      </c>
      <c r="H348" s="124">
        <f t="shared" si="36"/>
        <v>420.42399999999998</v>
      </c>
      <c r="I348" s="124">
        <f t="shared" si="37"/>
        <v>462.46640000000002</v>
      </c>
      <c r="J348" s="125">
        <f t="shared" si="38"/>
        <v>630.63599999999997</v>
      </c>
    </row>
    <row r="349" spans="1:10" ht="14.95" customHeight="1">
      <c r="A349" s="10" t="s">
        <v>1544</v>
      </c>
      <c r="B349" s="92">
        <f t="shared" si="39"/>
        <v>184.03109999999998</v>
      </c>
      <c r="C349" s="92">
        <f>('Цены на металл '!AA348*'Цены на металл '!$B$4*1.4)+'Цены на металл '!AB348</f>
        <v>204.47899999999998</v>
      </c>
      <c r="D349" s="92">
        <f t="shared" si="40"/>
        <v>224.92689999999999</v>
      </c>
      <c r="E349" s="92">
        <f t="shared" si="41"/>
        <v>245.37479999999996</v>
      </c>
      <c r="F349" s="92">
        <f t="shared" si="41"/>
        <v>269.91227999999995</v>
      </c>
      <c r="G349" s="92">
        <f t="shared" si="41"/>
        <v>294.44975999999997</v>
      </c>
      <c r="H349" s="124">
        <f t="shared" si="36"/>
        <v>408.95799999999997</v>
      </c>
      <c r="I349" s="124">
        <f t="shared" si="37"/>
        <v>449.85379999999998</v>
      </c>
      <c r="J349" s="125">
        <f t="shared" si="38"/>
        <v>613.4369999999999</v>
      </c>
    </row>
    <row r="350" spans="1:10" ht="14.95" customHeight="1">
      <c r="A350" s="10" t="s">
        <v>1545</v>
      </c>
      <c r="B350" s="92">
        <f t="shared" si="39"/>
        <v>198.2817</v>
      </c>
      <c r="C350" s="92">
        <f>('Цены на металл '!AA349*'Цены на металл '!$B$4*1.4)+'Цены на металл '!AB349</f>
        <v>220.31299999999999</v>
      </c>
      <c r="D350" s="92">
        <f t="shared" si="40"/>
        <v>242.3443</v>
      </c>
      <c r="E350" s="92">
        <f t="shared" si="41"/>
        <v>264.37559999999996</v>
      </c>
      <c r="F350" s="92">
        <f t="shared" si="41"/>
        <v>290.81315999999998</v>
      </c>
      <c r="G350" s="92">
        <f t="shared" si="41"/>
        <v>317.25071999999994</v>
      </c>
      <c r="H350" s="124">
        <f t="shared" si="36"/>
        <v>440.62599999999998</v>
      </c>
      <c r="I350" s="124">
        <f t="shared" si="37"/>
        <v>484.68860000000001</v>
      </c>
      <c r="J350" s="125">
        <f t="shared" si="38"/>
        <v>660.93899999999996</v>
      </c>
    </row>
    <row r="351" spans="1:10" ht="14.95" customHeight="1">
      <c r="A351" s="10" t="s">
        <v>1546</v>
      </c>
      <c r="B351" s="92">
        <f t="shared" si="39"/>
        <v>202.29480000000001</v>
      </c>
      <c r="C351" s="92">
        <f>('Цены на металл '!AA350*'Цены на металл '!$B$4*1.4)+'Цены на металл '!AB350</f>
        <v>224.77199999999999</v>
      </c>
      <c r="D351" s="92">
        <f t="shared" si="40"/>
        <v>247.2492</v>
      </c>
      <c r="E351" s="92">
        <f t="shared" si="41"/>
        <v>269.72639999999996</v>
      </c>
      <c r="F351" s="92">
        <f t="shared" si="41"/>
        <v>296.69903999999997</v>
      </c>
      <c r="G351" s="92">
        <f t="shared" si="41"/>
        <v>323.67167999999992</v>
      </c>
      <c r="H351" s="124">
        <f t="shared" si="36"/>
        <v>449.54399999999998</v>
      </c>
      <c r="I351" s="124">
        <f t="shared" si="37"/>
        <v>494.4984</v>
      </c>
      <c r="J351" s="125">
        <f t="shared" si="38"/>
        <v>674.31600000000003</v>
      </c>
    </row>
    <row r="352" spans="1:10" ht="14.95" customHeight="1">
      <c r="A352" s="10" t="s">
        <v>1547</v>
      </c>
      <c r="B352" s="92">
        <f t="shared" si="39"/>
        <v>204.17850000000001</v>
      </c>
      <c r="C352" s="92">
        <f>('Цены на металл '!AA351*'Цены на металл '!$B$4*1.4)+'Цены на металл '!AB351</f>
        <v>226.86500000000001</v>
      </c>
      <c r="D352" s="92">
        <f t="shared" si="40"/>
        <v>249.55150000000003</v>
      </c>
      <c r="E352" s="92">
        <f t="shared" si="41"/>
        <v>272.238</v>
      </c>
      <c r="F352" s="92">
        <f t="shared" si="41"/>
        <v>299.46180000000004</v>
      </c>
      <c r="G352" s="92">
        <f t="shared" si="41"/>
        <v>326.68559999999997</v>
      </c>
      <c r="H352" s="124">
        <f t="shared" si="36"/>
        <v>453.73</v>
      </c>
      <c r="I352" s="124">
        <f t="shared" si="37"/>
        <v>499.10300000000007</v>
      </c>
      <c r="J352" s="125">
        <f t="shared" si="38"/>
        <v>680.59500000000003</v>
      </c>
    </row>
    <row r="353" spans="1:10" ht="14.95" customHeight="1">
      <c r="A353" s="10" t="s">
        <v>1548</v>
      </c>
      <c r="B353" s="92">
        <f t="shared" si="39"/>
        <v>210.89430000000002</v>
      </c>
      <c r="C353" s="92">
        <f>('Цены на металл '!AA352*'Цены на металл '!$B$4*1.4)+'Цены на металл '!AB352</f>
        <v>234.327</v>
      </c>
      <c r="D353" s="92">
        <f t="shared" si="40"/>
        <v>257.75970000000001</v>
      </c>
      <c r="E353" s="92">
        <f t="shared" si="41"/>
        <v>281.19239999999996</v>
      </c>
      <c r="F353" s="92">
        <f t="shared" si="41"/>
        <v>309.31164000000001</v>
      </c>
      <c r="G353" s="92">
        <f t="shared" si="41"/>
        <v>337.43087999999995</v>
      </c>
      <c r="H353" s="124">
        <f t="shared" si="36"/>
        <v>468.654</v>
      </c>
      <c r="I353" s="124">
        <f t="shared" si="37"/>
        <v>515.51940000000002</v>
      </c>
      <c r="J353" s="125">
        <f t="shared" si="38"/>
        <v>702.98099999999999</v>
      </c>
    </row>
    <row r="354" spans="1:10" ht="14.95" customHeight="1">
      <c r="A354" s="10" t="s">
        <v>1549</v>
      </c>
      <c r="B354" s="92">
        <f t="shared" si="39"/>
        <v>220.31280000000001</v>
      </c>
      <c r="C354" s="92">
        <f>('Цены на металл '!AA353*'Цены на металл '!$B$4*1.4)+'Цены на металл '!AB353</f>
        <v>244.792</v>
      </c>
      <c r="D354" s="92">
        <f t="shared" si="40"/>
        <v>269.27120000000002</v>
      </c>
      <c r="E354" s="92">
        <f t="shared" si="41"/>
        <v>293.75040000000001</v>
      </c>
      <c r="F354" s="92">
        <f t="shared" si="41"/>
        <v>323.12544000000003</v>
      </c>
      <c r="G354" s="92">
        <f t="shared" si="41"/>
        <v>352.50047999999998</v>
      </c>
      <c r="H354" s="124">
        <f t="shared" si="36"/>
        <v>489.584</v>
      </c>
      <c r="I354" s="124">
        <f t="shared" si="37"/>
        <v>538.54240000000004</v>
      </c>
      <c r="J354" s="125">
        <f t="shared" si="38"/>
        <v>734.37599999999998</v>
      </c>
    </row>
    <row r="355" spans="1:10" ht="14.95" customHeight="1">
      <c r="A355" s="10" t="s">
        <v>1550</v>
      </c>
      <c r="B355" s="92">
        <f t="shared" si="39"/>
        <v>211.7133</v>
      </c>
      <c r="C355" s="92">
        <f>('Цены на металл '!AA354*'Цены на металл '!$B$4*1.4)+'Цены на металл '!AB354</f>
        <v>235.23699999999999</v>
      </c>
      <c r="D355" s="92">
        <f t="shared" si="40"/>
        <v>258.76070000000004</v>
      </c>
      <c r="E355" s="92">
        <f t="shared" si="41"/>
        <v>282.28440000000001</v>
      </c>
      <c r="F355" s="92">
        <f t="shared" si="41"/>
        <v>310.51284000000004</v>
      </c>
      <c r="G355" s="92">
        <f t="shared" si="41"/>
        <v>338.74128000000002</v>
      </c>
      <c r="H355" s="124">
        <f t="shared" si="36"/>
        <v>470.47399999999999</v>
      </c>
      <c r="I355" s="124">
        <f t="shared" si="37"/>
        <v>517.52140000000009</v>
      </c>
      <c r="J355" s="125">
        <f t="shared" si="38"/>
        <v>705.71100000000001</v>
      </c>
    </row>
    <row r="356" spans="1:10" ht="14.95" customHeight="1">
      <c r="A356" s="10" t="s">
        <v>1551</v>
      </c>
      <c r="B356" s="92">
        <f t="shared" si="39"/>
        <v>226.20959999999999</v>
      </c>
      <c r="C356" s="92">
        <f>('Цены на металл '!AA355*'Цены на металл '!$B$4*1.4)+'Цены на металл '!AB355</f>
        <v>251.34399999999999</v>
      </c>
      <c r="D356" s="92">
        <f t="shared" si="40"/>
        <v>276.47840000000002</v>
      </c>
      <c r="E356" s="92">
        <f t="shared" si="41"/>
        <v>301.61279999999999</v>
      </c>
      <c r="F356" s="92">
        <f t="shared" si="41"/>
        <v>331.77408000000003</v>
      </c>
      <c r="G356" s="92">
        <f t="shared" si="41"/>
        <v>361.93536</v>
      </c>
      <c r="H356" s="124">
        <f t="shared" si="36"/>
        <v>502.68799999999999</v>
      </c>
      <c r="I356" s="124">
        <f t="shared" si="37"/>
        <v>552.95680000000004</v>
      </c>
      <c r="J356" s="125">
        <f t="shared" si="38"/>
        <v>754.03199999999993</v>
      </c>
    </row>
    <row r="357" spans="1:10" ht="14.95" customHeight="1">
      <c r="A357" s="10" t="s">
        <v>1552</v>
      </c>
      <c r="B357" s="92">
        <f t="shared" si="39"/>
        <v>237.0204</v>
      </c>
      <c r="C357" s="92">
        <f>('Цены на металл '!AA356*'Цены на металл '!$B$4*1.4)+'Цены на металл '!AB356</f>
        <v>263.35599999999999</v>
      </c>
      <c r="D357" s="92">
        <f t="shared" si="40"/>
        <v>289.69159999999999</v>
      </c>
      <c r="E357" s="92">
        <f t="shared" si="41"/>
        <v>316.02719999999999</v>
      </c>
      <c r="F357" s="92">
        <f t="shared" si="41"/>
        <v>347.62991999999997</v>
      </c>
      <c r="G357" s="92">
        <f t="shared" si="41"/>
        <v>379.23264</v>
      </c>
      <c r="H357" s="124">
        <f t="shared" si="36"/>
        <v>526.71199999999999</v>
      </c>
      <c r="I357" s="124">
        <f t="shared" si="37"/>
        <v>579.38319999999999</v>
      </c>
      <c r="J357" s="125">
        <f t="shared" si="38"/>
        <v>790.06799999999998</v>
      </c>
    </row>
    <row r="358" spans="1:10" ht="14.95" customHeight="1">
      <c r="A358" s="10" t="s">
        <v>1553</v>
      </c>
      <c r="B358" s="92">
        <f t="shared" si="39"/>
        <v>259.54289999999997</v>
      </c>
      <c r="C358" s="92">
        <f>('Цены на металл '!AA357*'Цены на металл '!$B$4*1.4)+'Цены на металл '!AB357</f>
        <v>288.38099999999997</v>
      </c>
      <c r="D358" s="92">
        <f t="shared" si="40"/>
        <v>317.21909999999997</v>
      </c>
      <c r="E358" s="92">
        <f t="shared" si="41"/>
        <v>346.05719999999997</v>
      </c>
      <c r="F358" s="92">
        <f t="shared" si="41"/>
        <v>380.66291999999993</v>
      </c>
      <c r="G358" s="92">
        <f t="shared" si="41"/>
        <v>415.26863999999995</v>
      </c>
      <c r="H358" s="124">
        <f t="shared" si="36"/>
        <v>576.76199999999994</v>
      </c>
      <c r="I358" s="124">
        <f t="shared" si="37"/>
        <v>634.43819999999994</v>
      </c>
      <c r="J358" s="125">
        <f t="shared" si="38"/>
        <v>865.14299999999992</v>
      </c>
    </row>
    <row r="359" spans="1:10" ht="14.95" customHeight="1">
      <c r="A359" s="10" t="s">
        <v>1554</v>
      </c>
      <c r="B359" s="92">
        <f t="shared" si="39"/>
        <v>227.19239999999999</v>
      </c>
      <c r="C359" s="92">
        <f>('Цены на металл '!AA358*'Цены на металл '!$B$4*1.4)+'Цены на металл '!AB358</f>
        <v>252.43599999999998</v>
      </c>
      <c r="D359" s="92">
        <f t="shared" si="40"/>
        <v>277.67959999999999</v>
      </c>
      <c r="E359" s="92">
        <f t="shared" si="41"/>
        <v>302.92319999999995</v>
      </c>
      <c r="F359" s="92">
        <f t="shared" si="41"/>
        <v>333.21551999999997</v>
      </c>
      <c r="G359" s="92">
        <f t="shared" si="41"/>
        <v>363.50783999999993</v>
      </c>
      <c r="H359" s="124">
        <f t="shared" si="36"/>
        <v>504.87199999999996</v>
      </c>
      <c r="I359" s="124">
        <f t="shared" si="37"/>
        <v>555.35919999999999</v>
      </c>
      <c r="J359" s="125">
        <f t="shared" si="38"/>
        <v>757.30799999999999</v>
      </c>
    </row>
    <row r="360" spans="1:10" ht="14.95" customHeight="1">
      <c r="A360" s="10" t="s">
        <v>1555</v>
      </c>
      <c r="B360" s="92">
        <f t="shared" si="39"/>
        <v>232.51590000000002</v>
      </c>
      <c r="C360" s="92">
        <f>('Цены на металл '!AA359*'Цены на металл '!$B$4*1.4)+'Цены на металл '!AB359</f>
        <v>258.351</v>
      </c>
      <c r="D360" s="92">
        <f t="shared" si="40"/>
        <v>284.18610000000001</v>
      </c>
      <c r="E360" s="92">
        <f t="shared" si="41"/>
        <v>310.02119999999996</v>
      </c>
      <c r="F360" s="92">
        <f t="shared" si="41"/>
        <v>341.02332000000001</v>
      </c>
      <c r="G360" s="92">
        <f t="shared" si="41"/>
        <v>372.02543999999995</v>
      </c>
      <c r="H360" s="124">
        <f t="shared" si="36"/>
        <v>516.702</v>
      </c>
      <c r="I360" s="124">
        <f t="shared" si="37"/>
        <v>568.37220000000002</v>
      </c>
      <c r="J360" s="125">
        <f t="shared" si="38"/>
        <v>775.053</v>
      </c>
    </row>
    <row r="361" spans="1:10" ht="14.95" customHeight="1">
      <c r="A361" s="10" t="s">
        <v>1556</v>
      </c>
      <c r="B361" s="92">
        <f t="shared" si="39"/>
        <v>235.05480000000003</v>
      </c>
      <c r="C361" s="92">
        <f>('Цены на металл '!AA360*'Цены на металл '!$B$4*1.4)+'Цены на металл '!AB360</f>
        <v>261.17200000000003</v>
      </c>
      <c r="D361" s="92">
        <f t="shared" si="40"/>
        <v>287.28920000000005</v>
      </c>
      <c r="E361" s="92">
        <f t="shared" si="41"/>
        <v>313.40640000000002</v>
      </c>
      <c r="F361" s="92">
        <f t="shared" si="41"/>
        <v>344.74704000000003</v>
      </c>
      <c r="G361" s="92">
        <f t="shared" si="41"/>
        <v>376.08768000000003</v>
      </c>
      <c r="H361" s="124">
        <f t="shared" si="36"/>
        <v>522.34400000000005</v>
      </c>
      <c r="I361" s="124">
        <f t="shared" si="37"/>
        <v>574.5784000000001</v>
      </c>
      <c r="J361" s="125">
        <f t="shared" si="38"/>
        <v>783.51600000000008</v>
      </c>
    </row>
    <row r="362" spans="1:10" ht="14.95" customHeight="1">
      <c r="A362" s="10" t="s">
        <v>1557</v>
      </c>
      <c r="B362" s="92">
        <f t="shared" si="39"/>
        <v>243.7362</v>
      </c>
      <c r="C362" s="92">
        <f>('Цены на металл '!AA361*'Цены на металл '!$B$4*1.4)+'Цены на металл '!AB361</f>
        <v>270.81799999999998</v>
      </c>
      <c r="D362" s="92">
        <f t="shared" si="40"/>
        <v>297.89980000000003</v>
      </c>
      <c r="E362" s="92">
        <f t="shared" si="41"/>
        <v>324.98159999999996</v>
      </c>
      <c r="F362" s="92">
        <f t="shared" si="41"/>
        <v>357.47976</v>
      </c>
      <c r="G362" s="92">
        <f t="shared" si="41"/>
        <v>389.97791999999993</v>
      </c>
      <c r="H362" s="124">
        <f t="shared" si="36"/>
        <v>541.63599999999997</v>
      </c>
      <c r="I362" s="124">
        <f t="shared" si="37"/>
        <v>595.79960000000005</v>
      </c>
      <c r="J362" s="125">
        <f t="shared" si="38"/>
        <v>812.45399999999995</v>
      </c>
    </row>
    <row r="363" spans="1:10" ht="14.95" customHeight="1">
      <c r="A363" s="10" t="s">
        <v>1558</v>
      </c>
      <c r="B363" s="92">
        <f t="shared" si="39"/>
        <v>255.77549999999999</v>
      </c>
      <c r="C363" s="92">
        <f>('Цены на металл '!AA362*'Цены на металл '!$B$4*1.4)+'Цены на металл '!AB362</f>
        <v>284.19499999999999</v>
      </c>
      <c r="D363" s="92">
        <f t="shared" si="40"/>
        <v>312.61450000000002</v>
      </c>
      <c r="E363" s="92">
        <f t="shared" si="41"/>
        <v>341.03399999999999</v>
      </c>
      <c r="F363" s="92">
        <f t="shared" si="41"/>
        <v>375.13740000000001</v>
      </c>
      <c r="G363" s="92">
        <f t="shared" si="41"/>
        <v>409.24079999999998</v>
      </c>
      <c r="H363" s="124">
        <f t="shared" si="36"/>
        <v>568.39</v>
      </c>
      <c r="I363" s="124">
        <f t="shared" si="37"/>
        <v>625.22900000000004</v>
      </c>
      <c r="J363" s="125">
        <f t="shared" si="38"/>
        <v>852.58500000000004</v>
      </c>
    </row>
    <row r="364" spans="1:10" ht="14.95" customHeight="1">
      <c r="A364" s="10" t="s">
        <v>1559</v>
      </c>
      <c r="B364" s="92">
        <f t="shared" si="39"/>
        <v>272.15550000000002</v>
      </c>
      <c r="C364" s="92">
        <f>('Цены на металл '!AA363*'Цены на металл '!$B$4*1.4)+'Цены на металл '!AB363</f>
        <v>302.39499999999998</v>
      </c>
      <c r="D364" s="92">
        <f t="shared" si="40"/>
        <v>332.6345</v>
      </c>
      <c r="E364" s="92">
        <f t="shared" si="41"/>
        <v>362.87399999999997</v>
      </c>
      <c r="F364" s="92">
        <f t="shared" si="41"/>
        <v>399.16140000000001</v>
      </c>
      <c r="G364" s="92">
        <f t="shared" si="41"/>
        <v>435.44879999999995</v>
      </c>
      <c r="H364" s="124">
        <f t="shared" si="36"/>
        <v>604.79</v>
      </c>
      <c r="I364" s="124">
        <f t="shared" si="37"/>
        <v>665.26900000000001</v>
      </c>
      <c r="J364" s="125">
        <f t="shared" si="38"/>
        <v>907.18499999999995</v>
      </c>
    </row>
    <row r="365" spans="1:10" ht="14.95" customHeight="1">
      <c r="A365" s="10" t="s">
        <v>1560</v>
      </c>
      <c r="B365" s="92">
        <f t="shared" si="39"/>
        <v>288.53550000000001</v>
      </c>
      <c r="C365" s="92">
        <f>('Цены на металл '!AA364*'Цены на металл '!$B$4*1.4)+'Цены на металл '!AB364</f>
        <v>320.59500000000003</v>
      </c>
      <c r="D365" s="92">
        <f t="shared" si="40"/>
        <v>352.65450000000004</v>
      </c>
      <c r="E365" s="92">
        <f t="shared" si="41"/>
        <v>384.714</v>
      </c>
      <c r="F365" s="92">
        <f t="shared" si="41"/>
        <v>423.18540000000002</v>
      </c>
      <c r="G365" s="92">
        <f t="shared" si="41"/>
        <v>461.65679999999998</v>
      </c>
      <c r="H365" s="124">
        <f t="shared" si="36"/>
        <v>641.19000000000005</v>
      </c>
      <c r="I365" s="124">
        <f t="shared" si="37"/>
        <v>705.30900000000008</v>
      </c>
      <c r="J365" s="125">
        <f t="shared" si="38"/>
        <v>961.78500000000008</v>
      </c>
    </row>
    <row r="366" spans="1:10" ht="14.95" customHeight="1">
      <c r="A366" s="10" t="s">
        <v>1561</v>
      </c>
      <c r="B366" s="92">
        <f t="shared" si="39"/>
        <v>256.26690000000002</v>
      </c>
      <c r="C366" s="92">
        <f>('Цены на металл '!AA365*'Цены на металл '!$B$4*1.4)+'Цены на металл '!AB365</f>
        <v>284.74099999999999</v>
      </c>
      <c r="D366" s="92">
        <f t="shared" si="40"/>
        <v>313.21510000000001</v>
      </c>
      <c r="E366" s="92">
        <f t="shared" si="41"/>
        <v>341.68919999999997</v>
      </c>
      <c r="F366" s="92">
        <f t="shared" si="41"/>
        <v>375.85811999999999</v>
      </c>
      <c r="G366" s="92">
        <f t="shared" si="41"/>
        <v>410.02703999999994</v>
      </c>
      <c r="H366" s="124">
        <f t="shared" si="36"/>
        <v>569.48199999999997</v>
      </c>
      <c r="I366" s="124">
        <f t="shared" si="37"/>
        <v>626.43020000000001</v>
      </c>
      <c r="J366" s="125">
        <f t="shared" si="38"/>
        <v>854.22299999999996</v>
      </c>
    </row>
    <row r="367" spans="1:10" ht="14.95" customHeight="1">
      <c r="A367" s="10" t="s">
        <v>1562</v>
      </c>
      <c r="B367" s="92">
        <f t="shared" si="39"/>
        <v>272.64689999999996</v>
      </c>
      <c r="C367" s="92">
        <f>('Цены на металл '!AA366*'Цены на металл '!$B$4*1.4)+'Цены на металл '!AB366</f>
        <v>302.94099999999997</v>
      </c>
      <c r="D367" s="92">
        <f t="shared" si="40"/>
        <v>333.23509999999999</v>
      </c>
      <c r="E367" s="92">
        <f t="shared" si="41"/>
        <v>363.52919999999995</v>
      </c>
      <c r="F367" s="92">
        <f t="shared" si="41"/>
        <v>399.88211999999999</v>
      </c>
      <c r="G367" s="92">
        <f t="shared" si="41"/>
        <v>436.23503999999991</v>
      </c>
      <c r="H367" s="124">
        <f t="shared" si="36"/>
        <v>605.88199999999995</v>
      </c>
      <c r="I367" s="124">
        <f t="shared" si="37"/>
        <v>666.47019999999998</v>
      </c>
      <c r="J367" s="125">
        <f t="shared" si="38"/>
        <v>908.82299999999987</v>
      </c>
    </row>
    <row r="368" spans="1:10" ht="14.95" customHeight="1">
      <c r="A368" s="10" t="s">
        <v>1563</v>
      </c>
      <c r="B368" s="92">
        <f t="shared" si="39"/>
        <v>289.02689999999996</v>
      </c>
      <c r="C368" s="92">
        <f>('Цены на металл '!AA367*'Цены на металл '!$B$4*1.4)+'Цены на металл '!AB367</f>
        <v>321.14099999999996</v>
      </c>
      <c r="D368" s="92">
        <f t="shared" si="40"/>
        <v>353.25509999999997</v>
      </c>
      <c r="E368" s="92">
        <f t="shared" si="41"/>
        <v>385.36919999999992</v>
      </c>
      <c r="F368" s="92">
        <f t="shared" si="41"/>
        <v>423.90611999999993</v>
      </c>
      <c r="G368" s="92">
        <f t="shared" si="41"/>
        <v>462.44303999999988</v>
      </c>
      <c r="H368" s="124">
        <f t="shared" si="36"/>
        <v>642.28199999999993</v>
      </c>
      <c r="I368" s="124">
        <f t="shared" si="37"/>
        <v>706.51019999999994</v>
      </c>
      <c r="J368" s="125">
        <f t="shared" si="38"/>
        <v>963.42299999999989</v>
      </c>
    </row>
    <row r="369" spans="1:10" ht="14.95" customHeight="1">
      <c r="A369" s="10" t="s">
        <v>1564</v>
      </c>
      <c r="B369" s="92">
        <f t="shared" si="39"/>
        <v>305.40690000000001</v>
      </c>
      <c r="C369" s="92">
        <f>('Цены на металл '!AA368*'Цены на металл '!$B$4*1.4)+'Цены на металл '!AB368</f>
        <v>339.34100000000001</v>
      </c>
      <c r="D369" s="92">
        <f t="shared" si="40"/>
        <v>373.27510000000007</v>
      </c>
      <c r="E369" s="92">
        <f t="shared" si="41"/>
        <v>407.20920000000001</v>
      </c>
      <c r="F369" s="92">
        <f t="shared" si="41"/>
        <v>447.93012000000004</v>
      </c>
      <c r="G369" s="92">
        <f t="shared" si="41"/>
        <v>488.65103999999997</v>
      </c>
      <c r="H369" s="124">
        <f t="shared" si="36"/>
        <v>678.68200000000002</v>
      </c>
      <c r="I369" s="124">
        <f t="shared" si="37"/>
        <v>746.55020000000013</v>
      </c>
      <c r="J369" s="125">
        <f t="shared" si="38"/>
        <v>1018.023</v>
      </c>
    </row>
    <row r="370" spans="1:10" ht="14.95" customHeight="1">
      <c r="A370" s="10" t="s">
        <v>1565</v>
      </c>
      <c r="B370" s="92">
        <f t="shared" si="39"/>
        <v>321.7869</v>
      </c>
      <c r="C370" s="92">
        <f>('Цены на металл '!AA369*'Цены на металл '!$B$4*1.4)+'Цены на металл '!AB369</f>
        <v>357.541</v>
      </c>
      <c r="D370" s="92">
        <f t="shared" si="40"/>
        <v>393.29510000000005</v>
      </c>
      <c r="E370" s="92">
        <f t="shared" si="41"/>
        <v>429.04919999999998</v>
      </c>
      <c r="F370" s="92">
        <f t="shared" si="41"/>
        <v>471.95412000000005</v>
      </c>
      <c r="G370" s="92">
        <f t="shared" si="41"/>
        <v>514.85903999999994</v>
      </c>
      <c r="H370" s="124">
        <f t="shared" si="36"/>
        <v>715.08199999999999</v>
      </c>
      <c r="I370" s="124">
        <f t="shared" si="37"/>
        <v>786.5902000000001</v>
      </c>
      <c r="J370" s="125">
        <f t="shared" si="38"/>
        <v>1072.623</v>
      </c>
    </row>
    <row r="371" spans="1:10" ht="14.95" customHeight="1">
      <c r="A371" s="10" t="s">
        <v>1566</v>
      </c>
      <c r="B371" s="92">
        <f t="shared" si="39"/>
        <v>264.45690000000002</v>
      </c>
      <c r="C371" s="92">
        <f>('Цены на металл '!AA370*'Цены на металл '!$B$4*1.4)+'Цены на металл '!AB370</f>
        <v>293.84100000000001</v>
      </c>
      <c r="D371" s="92">
        <f t="shared" si="40"/>
        <v>323.22510000000005</v>
      </c>
      <c r="E371" s="92">
        <f t="shared" si="41"/>
        <v>352.60919999999999</v>
      </c>
      <c r="F371" s="92">
        <f t="shared" si="41"/>
        <v>387.87012000000004</v>
      </c>
      <c r="G371" s="92">
        <f t="shared" si="41"/>
        <v>423.13103999999998</v>
      </c>
      <c r="H371" s="124">
        <f t="shared" si="36"/>
        <v>587.68200000000002</v>
      </c>
      <c r="I371" s="124">
        <f t="shared" si="37"/>
        <v>646.45020000000011</v>
      </c>
      <c r="J371" s="125">
        <f t="shared" si="38"/>
        <v>881.52300000000002</v>
      </c>
    </row>
    <row r="372" spans="1:10" ht="14.95" customHeight="1">
      <c r="A372" s="10" t="s">
        <v>1567</v>
      </c>
      <c r="B372" s="92">
        <f t="shared" si="39"/>
        <v>271.0908</v>
      </c>
      <c r="C372" s="92">
        <f>('Цены на металл '!AA371*'Цены на металл '!$B$4*1.4)+'Цены на металл '!AB371</f>
        <v>301.21199999999999</v>
      </c>
      <c r="D372" s="92">
        <f t="shared" si="40"/>
        <v>331.33320000000003</v>
      </c>
      <c r="E372" s="92">
        <f t="shared" si="41"/>
        <v>361.45439999999996</v>
      </c>
      <c r="F372" s="92">
        <f t="shared" si="41"/>
        <v>397.59984000000003</v>
      </c>
      <c r="G372" s="92">
        <f t="shared" si="41"/>
        <v>433.74527999999992</v>
      </c>
      <c r="H372" s="124">
        <f t="shared" si="36"/>
        <v>602.42399999999998</v>
      </c>
      <c r="I372" s="124">
        <f t="shared" si="37"/>
        <v>662.66640000000007</v>
      </c>
      <c r="J372" s="125">
        <f t="shared" si="38"/>
        <v>903.63599999999997</v>
      </c>
    </row>
    <row r="373" spans="1:10" ht="14.95" customHeight="1">
      <c r="A373" s="10" t="s">
        <v>1568</v>
      </c>
      <c r="B373" s="92">
        <f t="shared" si="39"/>
        <v>274.20300000000003</v>
      </c>
      <c r="C373" s="92">
        <f>('Цены на металл '!AA372*'Цены на металл '!$B$4*1.4)+'Цены на металл '!AB372</f>
        <v>304.67</v>
      </c>
      <c r="D373" s="92">
        <f t="shared" si="40"/>
        <v>335.13700000000006</v>
      </c>
      <c r="E373" s="92">
        <f t="shared" si="41"/>
        <v>365.60399999999998</v>
      </c>
      <c r="F373" s="92">
        <f t="shared" si="41"/>
        <v>402.16440000000006</v>
      </c>
      <c r="G373" s="92">
        <f t="shared" si="41"/>
        <v>438.72479999999996</v>
      </c>
      <c r="H373" s="124">
        <f t="shared" si="36"/>
        <v>609.34</v>
      </c>
      <c r="I373" s="124">
        <f t="shared" si="37"/>
        <v>670.27400000000011</v>
      </c>
      <c r="J373" s="125">
        <f t="shared" si="38"/>
        <v>914.01</v>
      </c>
    </row>
    <row r="374" spans="1:10" ht="14.95" customHeight="1">
      <c r="A374" s="10" t="s">
        <v>1569</v>
      </c>
      <c r="B374" s="92">
        <f t="shared" si="39"/>
        <v>284.93190000000004</v>
      </c>
      <c r="C374" s="92">
        <f>('Цены на металл '!AA373*'Цены на металл '!$B$4*1.4)+'Цены на металл '!AB373</f>
        <v>316.59100000000001</v>
      </c>
      <c r="D374" s="92">
        <f t="shared" si="40"/>
        <v>348.25010000000003</v>
      </c>
      <c r="E374" s="92">
        <f t="shared" si="41"/>
        <v>379.9092</v>
      </c>
      <c r="F374" s="92">
        <f t="shared" si="41"/>
        <v>417.90012000000002</v>
      </c>
      <c r="G374" s="92">
        <f t="shared" si="41"/>
        <v>455.89103999999998</v>
      </c>
      <c r="H374" s="124">
        <f t="shared" ref="H374:H437" si="42">C374*2</f>
        <v>633.18200000000002</v>
      </c>
      <c r="I374" s="124">
        <f t="shared" ref="I374:I437" si="43">D374*2</f>
        <v>696.50020000000006</v>
      </c>
      <c r="J374" s="125">
        <f t="shared" ref="J374:J437" si="44">C374*3</f>
        <v>949.77300000000002</v>
      </c>
    </row>
    <row r="375" spans="1:10" ht="14.95" customHeight="1">
      <c r="A375" s="10" t="s">
        <v>1570</v>
      </c>
      <c r="B375" s="92">
        <f t="shared" si="39"/>
        <v>299.59199999999998</v>
      </c>
      <c r="C375" s="92">
        <f>('Цены на металл '!AA374*'Цены на металл '!$B$4*1.4)+'Цены на металл '!AB374</f>
        <v>332.88</v>
      </c>
      <c r="D375" s="92">
        <f t="shared" si="40"/>
        <v>366.16800000000001</v>
      </c>
      <c r="E375" s="92">
        <f t="shared" si="41"/>
        <v>399.45599999999996</v>
      </c>
      <c r="F375" s="92">
        <f t="shared" si="41"/>
        <v>439.40159999999997</v>
      </c>
      <c r="G375" s="92">
        <f t="shared" si="41"/>
        <v>479.34719999999993</v>
      </c>
      <c r="H375" s="124">
        <f t="shared" si="42"/>
        <v>665.76</v>
      </c>
      <c r="I375" s="124">
        <f t="shared" si="43"/>
        <v>732.33600000000001</v>
      </c>
      <c r="J375" s="125">
        <f t="shared" si="44"/>
        <v>998.64</v>
      </c>
    </row>
    <row r="376" spans="1:10" ht="14.95" customHeight="1">
      <c r="A376" s="10" t="s">
        <v>1571</v>
      </c>
      <c r="B376" s="92">
        <f t="shared" si="39"/>
        <v>336.85649999999998</v>
      </c>
      <c r="C376" s="92">
        <f>('Цены на металл '!AA375*'Цены на металл '!$B$4*1.4)+'Цены на металл '!AB375</f>
        <v>374.28499999999997</v>
      </c>
      <c r="D376" s="92">
        <f t="shared" si="40"/>
        <v>411.71350000000001</v>
      </c>
      <c r="E376" s="92">
        <f t="shared" si="41"/>
        <v>449.14199999999994</v>
      </c>
      <c r="F376" s="92">
        <f t="shared" si="41"/>
        <v>494.05619999999999</v>
      </c>
      <c r="G376" s="92">
        <f t="shared" si="41"/>
        <v>538.97039999999993</v>
      </c>
      <c r="H376" s="124">
        <f t="shared" si="42"/>
        <v>748.56999999999994</v>
      </c>
      <c r="I376" s="124">
        <f t="shared" si="43"/>
        <v>823.42700000000002</v>
      </c>
      <c r="J376" s="125">
        <f t="shared" si="44"/>
        <v>1122.855</v>
      </c>
    </row>
    <row r="377" spans="1:10" ht="14.95" customHeight="1">
      <c r="A377" s="10" t="s">
        <v>1572</v>
      </c>
      <c r="B377" s="92">
        <f t="shared" si="39"/>
        <v>353.23650000000004</v>
      </c>
      <c r="C377" s="92">
        <f>('Цены на металл '!AA376*'Цены на металл '!$B$4*1.4)+'Цены на металл '!AB376</f>
        <v>392.48500000000001</v>
      </c>
      <c r="D377" s="92">
        <f t="shared" si="40"/>
        <v>431.73350000000005</v>
      </c>
      <c r="E377" s="92">
        <f t="shared" si="41"/>
        <v>470.98199999999997</v>
      </c>
      <c r="F377" s="92">
        <f t="shared" si="41"/>
        <v>518.08019999999999</v>
      </c>
      <c r="G377" s="92">
        <f t="shared" si="41"/>
        <v>565.1783999999999</v>
      </c>
      <c r="H377" s="124">
        <f t="shared" si="42"/>
        <v>784.97</v>
      </c>
      <c r="I377" s="124">
        <f t="shared" si="43"/>
        <v>863.4670000000001</v>
      </c>
      <c r="J377" s="125">
        <f t="shared" si="44"/>
        <v>1177.4549999999999</v>
      </c>
    </row>
    <row r="378" spans="1:10" ht="14.95" customHeight="1">
      <c r="A378" s="10" t="s">
        <v>1573</v>
      </c>
      <c r="B378" s="92">
        <f t="shared" si="39"/>
        <v>310.15709999999996</v>
      </c>
      <c r="C378" s="92">
        <f>('Цены на металл '!AA377*'Цены на металл '!$B$4*1.4)+'Цены на металл '!AB377</f>
        <v>344.61899999999997</v>
      </c>
      <c r="D378" s="92">
        <f t="shared" si="40"/>
        <v>379.08089999999999</v>
      </c>
      <c r="E378" s="92">
        <f t="shared" si="41"/>
        <v>413.54279999999994</v>
      </c>
      <c r="F378" s="92">
        <f t="shared" si="41"/>
        <v>454.89707999999996</v>
      </c>
      <c r="G378" s="92">
        <f t="shared" si="41"/>
        <v>496.25135999999992</v>
      </c>
      <c r="H378" s="124">
        <f t="shared" si="42"/>
        <v>689.23799999999994</v>
      </c>
      <c r="I378" s="124">
        <f t="shared" si="43"/>
        <v>758.16179999999997</v>
      </c>
      <c r="J378" s="125">
        <f t="shared" si="44"/>
        <v>1033.857</v>
      </c>
    </row>
    <row r="379" spans="1:10" ht="14.95" customHeight="1">
      <c r="A379" s="10" t="s">
        <v>1574</v>
      </c>
      <c r="B379" s="92">
        <f t="shared" si="39"/>
        <v>318.01950000000005</v>
      </c>
      <c r="C379" s="92">
        <f>('Цены на металл '!AA378*'Цены на металл '!$B$4*1.4)+'Цены на металл '!AB378</f>
        <v>353.35500000000002</v>
      </c>
      <c r="D379" s="92">
        <f t="shared" si="40"/>
        <v>388.69050000000004</v>
      </c>
      <c r="E379" s="92">
        <f t="shared" si="41"/>
        <v>424.02600000000001</v>
      </c>
      <c r="F379" s="92">
        <f t="shared" si="41"/>
        <v>466.42860000000002</v>
      </c>
      <c r="G379" s="92">
        <f t="shared" si="41"/>
        <v>508.83119999999997</v>
      </c>
      <c r="H379" s="124">
        <f t="shared" si="42"/>
        <v>706.71</v>
      </c>
      <c r="I379" s="124">
        <f t="shared" si="43"/>
        <v>777.38100000000009</v>
      </c>
      <c r="J379" s="125">
        <f t="shared" si="44"/>
        <v>1060.0650000000001</v>
      </c>
    </row>
    <row r="380" spans="1:10" ht="14.95" customHeight="1">
      <c r="A380" s="10" t="s">
        <v>1575</v>
      </c>
      <c r="B380" s="92">
        <f t="shared" si="39"/>
        <v>322.11449999999996</v>
      </c>
      <c r="C380" s="92">
        <f>('Цены на металл '!AA379*'Цены на металл '!$B$4*1.4)+'Цены на металл '!AB379</f>
        <v>357.90499999999997</v>
      </c>
      <c r="D380" s="92">
        <f t="shared" si="40"/>
        <v>393.69549999999998</v>
      </c>
      <c r="E380" s="92">
        <f t="shared" si="41"/>
        <v>429.48599999999993</v>
      </c>
      <c r="F380" s="92">
        <f t="shared" si="41"/>
        <v>472.43459999999993</v>
      </c>
      <c r="G380" s="92">
        <f t="shared" si="41"/>
        <v>515.38319999999987</v>
      </c>
      <c r="H380" s="124">
        <f t="shared" si="42"/>
        <v>715.81</v>
      </c>
      <c r="I380" s="124">
        <f t="shared" si="43"/>
        <v>787.39099999999996</v>
      </c>
      <c r="J380" s="125">
        <f t="shared" si="44"/>
        <v>1073.7149999999999</v>
      </c>
    </row>
    <row r="381" spans="1:10" ht="14.95" customHeight="1">
      <c r="A381" s="10" t="s">
        <v>1576</v>
      </c>
      <c r="B381" s="92">
        <f t="shared" si="39"/>
        <v>334.48139999999995</v>
      </c>
      <c r="C381" s="92">
        <f>('Цены на металл '!AA380*'Цены на металл '!$B$4*1.4)+'Цены на металл '!AB380</f>
        <v>371.64599999999996</v>
      </c>
      <c r="D381" s="92">
        <f t="shared" si="40"/>
        <v>408.81059999999997</v>
      </c>
      <c r="E381" s="92">
        <f t="shared" si="41"/>
        <v>445.97519999999992</v>
      </c>
      <c r="F381" s="92">
        <f t="shared" si="41"/>
        <v>490.57271999999995</v>
      </c>
      <c r="G381" s="92">
        <f t="shared" si="41"/>
        <v>535.17023999999992</v>
      </c>
      <c r="H381" s="124">
        <f t="shared" si="42"/>
        <v>743.29199999999992</v>
      </c>
      <c r="I381" s="124">
        <f t="shared" si="43"/>
        <v>817.62119999999993</v>
      </c>
      <c r="J381" s="125">
        <f t="shared" si="44"/>
        <v>1114.9379999999999</v>
      </c>
    </row>
    <row r="382" spans="1:10" ht="14.95" customHeight="1">
      <c r="A382" s="10" t="s">
        <v>1577</v>
      </c>
      <c r="B382" s="92">
        <f t="shared" si="39"/>
        <v>351.76229999999998</v>
      </c>
      <c r="C382" s="92">
        <f>('Цены на металл '!AA381*'Цены на металл '!$B$4*1.4)+'Цены на металл '!AB381</f>
        <v>390.84699999999998</v>
      </c>
      <c r="D382" s="92">
        <f t="shared" si="40"/>
        <v>429.93170000000003</v>
      </c>
      <c r="E382" s="92">
        <f t="shared" si="41"/>
        <v>469.01639999999998</v>
      </c>
      <c r="F382" s="92">
        <f t="shared" si="41"/>
        <v>515.91804000000002</v>
      </c>
      <c r="G382" s="92">
        <f t="shared" si="41"/>
        <v>562.81967999999995</v>
      </c>
      <c r="H382" s="124">
        <f t="shared" si="42"/>
        <v>781.69399999999996</v>
      </c>
      <c r="I382" s="124">
        <f t="shared" si="43"/>
        <v>859.86340000000007</v>
      </c>
      <c r="J382" s="125">
        <f t="shared" si="44"/>
        <v>1172.5409999999999</v>
      </c>
    </row>
    <row r="383" spans="1:10" ht="14.95" customHeight="1">
      <c r="A383" s="10" t="s">
        <v>1578</v>
      </c>
      <c r="B383" s="92">
        <f t="shared" si="39"/>
        <v>368.14229999999998</v>
      </c>
      <c r="C383" s="92">
        <f>('Цены на металл '!AA382*'Цены на металл '!$B$4*1.4)+'Цены на металл '!AB382</f>
        <v>409.04699999999997</v>
      </c>
      <c r="D383" s="92">
        <f t="shared" si="40"/>
        <v>449.95170000000002</v>
      </c>
      <c r="E383" s="92">
        <f t="shared" si="41"/>
        <v>490.85639999999995</v>
      </c>
      <c r="F383" s="92">
        <f t="shared" si="41"/>
        <v>539.94204000000002</v>
      </c>
      <c r="G383" s="92">
        <f t="shared" si="41"/>
        <v>589.02767999999992</v>
      </c>
      <c r="H383" s="124">
        <f t="shared" si="42"/>
        <v>818.09399999999994</v>
      </c>
      <c r="I383" s="124">
        <f t="shared" si="43"/>
        <v>899.90340000000003</v>
      </c>
      <c r="J383" s="125">
        <f t="shared" si="44"/>
        <v>1227.1409999999998</v>
      </c>
    </row>
    <row r="384" spans="1:10" ht="14.95" customHeight="1">
      <c r="A384" s="10" t="s">
        <v>1579</v>
      </c>
      <c r="B384" s="92">
        <f t="shared" si="39"/>
        <v>384.52230000000003</v>
      </c>
      <c r="C384" s="92">
        <f>('Цены на металл '!AA383*'Цены на металл '!$B$4*1.4)+'Цены на металл '!AB383</f>
        <v>427.24700000000001</v>
      </c>
      <c r="D384" s="92">
        <f t="shared" si="40"/>
        <v>469.97170000000006</v>
      </c>
      <c r="E384" s="92">
        <f t="shared" si="41"/>
        <v>512.69640000000004</v>
      </c>
      <c r="F384" s="92">
        <f t="shared" si="41"/>
        <v>563.96604000000002</v>
      </c>
      <c r="G384" s="92">
        <f t="shared" si="41"/>
        <v>615.23568</v>
      </c>
      <c r="H384" s="124">
        <f t="shared" si="42"/>
        <v>854.49400000000003</v>
      </c>
      <c r="I384" s="124">
        <f t="shared" si="43"/>
        <v>939.94340000000011</v>
      </c>
      <c r="J384" s="125">
        <f t="shared" si="44"/>
        <v>1281.741</v>
      </c>
    </row>
    <row r="385" spans="1:10" ht="14.95" customHeight="1">
      <c r="A385" s="10" t="s">
        <v>1580</v>
      </c>
      <c r="B385" s="92">
        <f t="shared" si="39"/>
        <v>364.12919999999997</v>
      </c>
      <c r="C385" s="92">
        <f>('Цены на металл '!AA384*'Цены на металл '!$B$4*1.4)+'Цены на металл '!AB384</f>
        <v>404.58799999999997</v>
      </c>
      <c r="D385" s="92">
        <f t="shared" si="40"/>
        <v>445.04680000000002</v>
      </c>
      <c r="E385" s="92">
        <f t="shared" si="41"/>
        <v>485.50559999999996</v>
      </c>
      <c r="F385" s="92">
        <f t="shared" si="41"/>
        <v>534.05615999999998</v>
      </c>
      <c r="G385" s="92">
        <f t="shared" si="41"/>
        <v>582.60671999999988</v>
      </c>
      <c r="H385" s="124">
        <f t="shared" si="42"/>
        <v>809.17599999999993</v>
      </c>
      <c r="I385" s="124">
        <f t="shared" si="43"/>
        <v>890.09360000000004</v>
      </c>
      <c r="J385" s="125">
        <f t="shared" si="44"/>
        <v>1213.7639999999999</v>
      </c>
    </row>
    <row r="386" spans="1:10" ht="14.95" customHeight="1">
      <c r="A386" s="10" t="s">
        <v>1581</v>
      </c>
      <c r="B386" s="92">
        <f t="shared" si="39"/>
        <v>373.38389999999998</v>
      </c>
      <c r="C386" s="92">
        <f>('Цены на металл '!AA385*'Цены на металл '!$B$4*1.4)+'Цены на металл '!AB385</f>
        <v>414.87099999999998</v>
      </c>
      <c r="D386" s="92">
        <f t="shared" si="40"/>
        <v>456.35810000000004</v>
      </c>
      <c r="E386" s="92">
        <f t="shared" si="41"/>
        <v>497.84519999999998</v>
      </c>
      <c r="F386" s="92">
        <f t="shared" si="41"/>
        <v>547.62972000000002</v>
      </c>
      <c r="G386" s="92">
        <f t="shared" si="41"/>
        <v>597.41423999999995</v>
      </c>
      <c r="H386" s="124">
        <f t="shared" si="42"/>
        <v>829.74199999999996</v>
      </c>
      <c r="I386" s="124">
        <f t="shared" si="43"/>
        <v>912.71620000000007</v>
      </c>
      <c r="J386" s="125">
        <f t="shared" si="44"/>
        <v>1244.6129999999998</v>
      </c>
    </row>
    <row r="387" spans="1:10" ht="14.95" customHeight="1">
      <c r="A387" s="10" t="s">
        <v>1582</v>
      </c>
      <c r="B387" s="92">
        <f t="shared" si="39"/>
        <v>381.57390000000004</v>
      </c>
      <c r="C387" s="92">
        <f>('Цены на металл '!AA386*'Цены на металл '!$B$4*1.4)+'Цены на металл '!AB386</f>
        <v>423.971</v>
      </c>
      <c r="D387" s="92">
        <f t="shared" si="40"/>
        <v>466.36810000000003</v>
      </c>
      <c r="E387" s="92">
        <f t="shared" si="41"/>
        <v>508.76519999999999</v>
      </c>
      <c r="F387" s="92">
        <f t="shared" si="41"/>
        <v>559.64171999999996</v>
      </c>
      <c r="G387" s="92">
        <f t="shared" si="41"/>
        <v>610.51823999999999</v>
      </c>
      <c r="H387" s="124">
        <f t="shared" si="42"/>
        <v>847.94200000000001</v>
      </c>
      <c r="I387" s="124">
        <f t="shared" si="43"/>
        <v>932.73620000000005</v>
      </c>
      <c r="J387" s="125">
        <f t="shared" si="44"/>
        <v>1271.913</v>
      </c>
    </row>
    <row r="388" spans="1:10" ht="14.95" customHeight="1">
      <c r="A388" s="10" t="s">
        <v>1583</v>
      </c>
      <c r="B388" s="92">
        <f t="shared" si="39"/>
        <v>392.38469999999995</v>
      </c>
      <c r="C388" s="92">
        <f>('Цены на металл '!AA387*'Цены на металл '!$B$4*1.4)+'Цены на металл '!AB387</f>
        <v>435.98299999999995</v>
      </c>
      <c r="D388" s="92">
        <f t="shared" si="40"/>
        <v>479.5813</v>
      </c>
      <c r="E388" s="92">
        <f t="shared" si="41"/>
        <v>523.17959999999994</v>
      </c>
      <c r="F388" s="92">
        <f t="shared" si="41"/>
        <v>575.49756000000002</v>
      </c>
      <c r="G388" s="92">
        <f t="shared" si="41"/>
        <v>627.81551999999988</v>
      </c>
      <c r="H388" s="124">
        <f t="shared" si="42"/>
        <v>871.96599999999989</v>
      </c>
      <c r="I388" s="124">
        <f t="shared" si="43"/>
        <v>959.1626</v>
      </c>
      <c r="J388" s="125">
        <f t="shared" si="44"/>
        <v>1307.9489999999998</v>
      </c>
    </row>
    <row r="389" spans="1:10" ht="14.95" customHeight="1">
      <c r="A389" s="10" t="s">
        <v>1584</v>
      </c>
      <c r="B389" s="92">
        <f t="shared" ref="B389:B452" si="45">C389*0.9</f>
        <v>412.28640000000001</v>
      </c>
      <c r="C389" s="92">
        <f>('Цены на металл '!AA388*'Цены на металл '!$B$4*1.4)+'Цены на металл '!AB388</f>
        <v>458.096</v>
      </c>
      <c r="D389" s="92">
        <f t="shared" ref="D389:D452" si="46">C389*1.1</f>
        <v>503.90560000000005</v>
      </c>
      <c r="E389" s="92">
        <f t="shared" ref="E389:G452" si="47">C389*1.2</f>
        <v>549.71519999999998</v>
      </c>
      <c r="F389" s="92">
        <f t="shared" si="47"/>
        <v>604.68672000000004</v>
      </c>
      <c r="G389" s="92">
        <f t="shared" si="47"/>
        <v>659.65823999999998</v>
      </c>
      <c r="H389" s="124">
        <f t="shared" si="42"/>
        <v>916.19200000000001</v>
      </c>
      <c r="I389" s="124">
        <f t="shared" si="43"/>
        <v>1007.8112000000001</v>
      </c>
      <c r="J389" s="125">
        <f t="shared" si="44"/>
        <v>1374.288</v>
      </c>
    </row>
    <row r="390" spans="1:10" ht="14.95" customHeight="1">
      <c r="A390" s="10" t="s">
        <v>1585</v>
      </c>
      <c r="B390" s="92">
        <f t="shared" si="45"/>
        <v>428.66639999999995</v>
      </c>
      <c r="C390" s="92">
        <f>('Цены на металл '!AA389*'Цены на металл '!$B$4*1.4)+'Цены на металл '!AB389</f>
        <v>476.29599999999994</v>
      </c>
      <c r="D390" s="92">
        <f t="shared" si="46"/>
        <v>523.92559999999992</v>
      </c>
      <c r="E390" s="92">
        <f t="shared" si="47"/>
        <v>571.5551999999999</v>
      </c>
      <c r="F390" s="92">
        <f t="shared" si="47"/>
        <v>628.71071999999992</v>
      </c>
      <c r="G390" s="92">
        <f t="shared" si="47"/>
        <v>685.86623999999983</v>
      </c>
      <c r="H390" s="124">
        <f t="shared" si="42"/>
        <v>952.59199999999987</v>
      </c>
      <c r="I390" s="124">
        <f t="shared" si="43"/>
        <v>1047.8511999999998</v>
      </c>
      <c r="J390" s="125">
        <f t="shared" si="44"/>
        <v>1428.8879999999999</v>
      </c>
    </row>
    <row r="391" spans="1:10" ht="14.95" customHeight="1">
      <c r="A391" s="10" t="s">
        <v>1586</v>
      </c>
      <c r="B391" s="92">
        <f t="shared" si="45"/>
        <v>445.04640000000001</v>
      </c>
      <c r="C391" s="92">
        <f>('Цены на металл '!AA390*'Цены на металл '!$B$4*1.4)+'Цены на металл '!AB390</f>
        <v>494.49599999999998</v>
      </c>
      <c r="D391" s="92">
        <f t="shared" si="46"/>
        <v>543.94560000000001</v>
      </c>
      <c r="E391" s="92">
        <f t="shared" si="47"/>
        <v>593.39519999999993</v>
      </c>
      <c r="F391" s="92">
        <f t="shared" si="47"/>
        <v>652.73472000000004</v>
      </c>
      <c r="G391" s="92">
        <f t="shared" si="47"/>
        <v>712.07423999999992</v>
      </c>
      <c r="H391" s="124">
        <f t="shared" si="42"/>
        <v>988.99199999999996</v>
      </c>
      <c r="I391" s="124">
        <f t="shared" si="43"/>
        <v>1087.8912</v>
      </c>
      <c r="J391" s="125">
        <f t="shared" si="44"/>
        <v>1483.4879999999998</v>
      </c>
    </row>
    <row r="392" spans="1:10" ht="14.95" customHeight="1">
      <c r="A392" s="9" t="s">
        <v>1588</v>
      </c>
      <c r="B392" s="92">
        <f t="shared" si="45"/>
        <v>0</v>
      </c>
      <c r="C392" s="92">
        <f>('Цены на металл '!AA391*'Цены на металл '!$B$4*1.4)+'Цены на металл '!AB391</f>
        <v>0</v>
      </c>
      <c r="D392" s="92">
        <f t="shared" si="46"/>
        <v>0</v>
      </c>
      <c r="E392" s="92">
        <f t="shared" si="47"/>
        <v>0</v>
      </c>
      <c r="F392" s="92">
        <f t="shared" si="47"/>
        <v>0</v>
      </c>
      <c r="G392" s="92">
        <f t="shared" si="47"/>
        <v>0</v>
      </c>
      <c r="H392" s="124">
        <f t="shared" si="42"/>
        <v>0</v>
      </c>
      <c r="I392" s="124">
        <f t="shared" si="43"/>
        <v>0</v>
      </c>
      <c r="J392" s="125">
        <f t="shared" si="44"/>
        <v>0</v>
      </c>
    </row>
    <row r="393" spans="1:10" ht="14.95" customHeight="1">
      <c r="A393" s="10" t="s">
        <v>1589</v>
      </c>
      <c r="B393" s="92">
        <f t="shared" si="45"/>
        <v>49.099499999999999</v>
      </c>
      <c r="C393" s="92">
        <f>('Цены на металл '!AA392*'Цены на металл '!$B$4*1.4)+'Цены на металл '!AB392</f>
        <v>54.555</v>
      </c>
      <c r="D393" s="92">
        <f t="shared" si="46"/>
        <v>60.010500000000008</v>
      </c>
      <c r="E393" s="92">
        <f t="shared" si="47"/>
        <v>65.465999999999994</v>
      </c>
      <c r="F393" s="92">
        <f t="shared" si="47"/>
        <v>72.012600000000006</v>
      </c>
      <c r="G393" s="92">
        <f t="shared" si="47"/>
        <v>78.55919999999999</v>
      </c>
      <c r="H393" s="124">
        <f t="shared" si="42"/>
        <v>109.11</v>
      </c>
      <c r="I393" s="124">
        <f t="shared" si="43"/>
        <v>120.02100000000002</v>
      </c>
      <c r="J393" s="125">
        <f t="shared" si="44"/>
        <v>163.66499999999999</v>
      </c>
    </row>
    <row r="394" spans="1:10" ht="14.95" customHeight="1">
      <c r="A394" s="10" t="s">
        <v>1590</v>
      </c>
      <c r="B394" s="92">
        <f t="shared" si="45"/>
        <v>50.4099</v>
      </c>
      <c r="C394" s="92">
        <f>('Цены на металл '!AA393*'Цены на металл '!$B$4*1.4)+'Цены на металл '!AB393</f>
        <v>56.010999999999996</v>
      </c>
      <c r="D394" s="92">
        <f t="shared" si="46"/>
        <v>61.612099999999998</v>
      </c>
      <c r="E394" s="92">
        <f t="shared" si="47"/>
        <v>67.213199999999986</v>
      </c>
      <c r="F394" s="92">
        <f t="shared" si="47"/>
        <v>73.934519999999992</v>
      </c>
      <c r="G394" s="92">
        <f t="shared" si="47"/>
        <v>80.655839999999984</v>
      </c>
      <c r="H394" s="124">
        <f t="shared" si="42"/>
        <v>112.02199999999999</v>
      </c>
      <c r="I394" s="124">
        <f t="shared" si="43"/>
        <v>123.2242</v>
      </c>
      <c r="J394" s="125">
        <f t="shared" si="44"/>
        <v>168.03299999999999</v>
      </c>
    </row>
    <row r="395" spans="1:10" ht="14.95" customHeight="1">
      <c r="A395" s="10" t="s">
        <v>1591</v>
      </c>
      <c r="B395" s="92">
        <f t="shared" si="45"/>
        <v>56.224799999999995</v>
      </c>
      <c r="C395" s="92">
        <f>('Цены на металл '!AA394*'Цены на металл '!$B$4*1.4)+'Цены на металл '!AB394</f>
        <v>62.471999999999994</v>
      </c>
      <c r="D395" s="92">
        <f t="shared" si="46"/>
        <v>68.719200000000001</v>
      </c>
      <c r="E395" s="92">
        <f t="shared" si="47"/>
        <v>74.966399999999993</v>
      </c>
      <c r="F395" s="92">
        <f t="shared" si="47"/>
        <v>82.463039999999992</v>
      </c>
      <c r="G395" s="92">
        <f t="shared" si="47"/>
        <v>89.959679999999992</v>
      </c>
      <c r="H395" s="124">
        <f t="shared" si="42"/>
        <v>124.94399999999999</v>
      </c>
      <c r="I395" s="124">
        <f t="shared" si="43"/>
        <v>137.4384</v>
      </c>
      <c r="J395" s="125">
        <f t="shared" si="44"/>
        <v>187.416</v>
      </c>
    </row>
    <row r="396" spans="1:10" ht="14.95" customHeight="1">
      <c r="A396" s="10" t="s">
        <v>1592</v>
      </c>
      <c r="B396" s="92">
        <f t="shared" si="45"/>
        <v>65.315700000000007</v>
      </c>
      <c r="C396" s="92">
        <f>('Цены на металл '!AA395*'Цены на металл '!$B$4*1.4)+'Цены на металл '!AB395</f>
        <v>72.573000000000008</v>
      </c>
      <c r="D396" s="92">
        <f t="shared" si="46"/>
        <v>79.830300000000008</v>
      </c>
      <c r="E396" s="92">
        <f t="shared" si="47"/>
        <v>87.087600000000009</v>
      </c>
      <c r="F396" s="92">
        <f t="shared" si="47"/>
        <v>95.796360000000007</v>
      </c>
      <c r="G396" s="92">
        <f t="shared" si="47"/>
        <v>104.50512000000001</v>
      </c>
      <c r="H396" s="124">
        <f t="shared" si="42"/>
        <v>145.14600000000002</v>
      </c>
      <c r="I396" s="124">
        <f t="shared" si="43"/>
        <v>159.66060000000002</v>
      </c>
      <c r="J396" s="125">
        <f t="shared" si="44"/>
        <v>217.71900000000002</v>
      </c>
    </row>
    <row r="397" spans="1:10" ht="14.95" customHeight="1">
      <c r="A397" s="10" t="s">
        <v>1593</v>
      </c>
      <c r="B397" s="92">
        <f t="shared" si="45"/>
        <v>76.781700000000001</v>
      </c>
      <c r="C397" s="92">
        <f>('Цены на металл '!AA396*'Цены на металл '!$B$4*1.4)+'Цены на металл '!AB396</f>
        <v>85.313000000000002</v>
      </c>
      <c r="D397" s="92">
        <f t="shared" si="46"/>
        <v>93.844300000000004</v>
      </c>
      <c r="E397" s="92">
        <f t="shared" si="47"/>
        <v>102.37560000000001</v>
      </c>
      <c r="F397" s="92">
        <f t="shared" si="47"/>
        <v>112.61316000000001</v>
      </c>
      <c r="G397" s="92">
        <f t="shared" si="47"/>
        <v>122.85072</v>
      </c>
      <c r="H397" s="124">
        <f t="shared" si="42"/>
        <v>170.626</v>
      </c>
      <c r="I397" s="124">
        <f t="shared" si="43"/>
        <v>187.68860000000001</v>
      </c>
      <c r="J397" s="125">
        <f t="shared" si="44"/>
        <v>255.93900000000002</v>
      </c>
    </row>
    <row r="398" spans="1:10" ht="14.95" customHeight="1">
      <c r="A398" s="10" t="s">
        <v>1594</v>
      </c>
      <c r="B398" s="92">
        <f t="shared" si="45"/>
        <v>90.213300000000004</v>
      </c>
      <c r="C398" s="92">
        <f>('Цены на металл '!AA397*'Цены на металл '!$B$4*1.4)+'Цены на металл '!AB397</f>
        <v>100.23699999999999</v>
      </c>
      <c r="D398" s="92">
        <f t="shared" si="46"/>
        <v>110.2607</v>
      </c>
      <c r="E398" s="92">
        <f t="shared" si="47"/>
        <v>120.28439999999999</v>
      </c>
      <c r="F398" s="92">
        <f t="shared" si="47"/>
        <v>132.31283999999999</v>
      </c>
      <c r="G398" s="92">
        <f t="shared" si="47"/>
        <v>144.34127999999998</v>
      </c>
      <c r="H398" s="124">
        <f t="shared" si="42"/>
        <v>200.47399999999999</v>
      </c>
      <c r="I398" s="124">
        <f t="shared" si="43"/>
        <v>220.5214</v>
      </c>
      <c r="J398" s="125">
        <f t="shared" si="44"/>
        <v>300.71100000000001</v>
      </c>
    </row>
    <row r="399" spans="1:10" ht="14.95" customHeight="1">
      <c r="A399" s="10" t="s">
        <v>1595</v>
      </c>
      <c r="B399" s="92">
        <f t="shared" si="45"/>
        <v>105.6105</v>
      </c>
      <c r="C399" s="92">
        <f>('Цены на металл '!AA398*'Цены на металл '!$B$4*1.4)+'Цены на металл '!AB398</f>
        <v>117.345</v>
      </c>
      <c r="D399" s="92">
        <f t="shared" si="46"/>
        <v>129.0795</v>
      </c>
      <c r="E399" s="92">
        <f t="shared" si="47"/>
        <v>140.81399999999999</v>
      </c>
      <c r="F399" s="92">
        <f t="shared" si="47"/>
        <v>154.8954</v>
      </c>
      <c r="G399" s="92">
        <f t="shared" si="47"/>
        <v>168.9768</v>
      </c>
      <c r="H399" s="124">
        <f t="shared" si="42"/>
        <v>234.69</v>
      </c>
      <c r="I399" s="124">
        <f t="shared" si="43"/>
        <v>258.15899999999999</v>
      </c>
      <c r="J399" s="125">
        <f t="shared" si="44"/>
        <v>352.03499999999997</v>
      </c>
    </row>
    <row r="400" spans="1:10" ht="14.95" customHeight="1">
      <c r="A400" s="10" t="s">
        <v>1596</v>
      </c>
      <c r="B400" s="92">
        <f t="shared" si="45"/>
        <v>142.875</v>
      </c>
      <c r="C400" s="92">
        <f>('Цены на металл '!AA399*'Цены на металл '!$B$4*1.4)+'Цены на металл '!AB399</f>
        <v>158.75</v>
      </c>
      <c r="D400" s="92">
        <f t="shared" si="46"/>
        <v>174.625</v>
      </c>
      <c r="E400" s="92">
        <f t="shared" si="47"/>
        <v>190.5</v>
      </c>
      <c r="F400" s="92">
        <f t="shared" si="47"/>
        <v>209.54999999999998</v>
      </c>
      <c r="G400" s="92">
        <f t="shared" si="47"/>
        <v>228.6</v>
      </c>
      <c r="H400" s="124">
        <f t="shared" si="42"/>
        <v>317.5</v>
      </c>
      <c r="I400" s="124">
        <f t="shared" si="43"/>
        <v>349.25</v>
      </c>
      <c r="J400" s="125">
        <f t="shared" si="44"/>
        <v>476.25</v>
      </c>
    </row>
    <row r="401" spans="1:10" ht="14.95" customHeight="1">
      <c r="A401" s="10" t="s">
        <v>1597</v>
      </c>
      <c r="B401" s="92">
        <f t="shared" si="45"/>
        <v>188.41140000000001</v>
      </c>
      <c r="C401" s="92">
        <f>('Цены на металл '!AA400*'Цены на металл '!$B$4*1.4)+'Цены на металл '!AB400</f>
        <v>209.346</v>
      </c>
      <c r="D401" s="92">
        <f t="shared" si="46"/>
        <v>230.28060000000002</v>
      </c>
      <c r="E401" s="92">
        <f t="shared" si="47"/>
        <v>251.21519999999998</v>
      </c>
      <c r="F401" s="92">
        <f t="shared" si="47"/>
        <v>276.33672000000001</v>
      </c>
      <c r="G401" s="92">
        <f t="shared" si="47"/>
        <v>301.45823999999999</v>
      </c>
      <c r="H401" s="124">
        <f t="shared" si="42"/>
        <v>418.69200000000001</v>
      </c>
      <c r="I401" s="124">
        <f t="shared" si="43"/>
        <v>460.56120000000004</v>
      </c>
      <c r="J401" s="125">
        <f t="shared" si="44"/>
        <v>628.03800000000001</v>
      </c>
    </row>
    <row r="402" spans="1:10" ht="14.95" customHeight="1">
      <c r="A402" s="26" t="s">
        <v>1644</v>
      </c>
      <c r="B402" s="92">
        <f t="shared" si="45"/>
        <v>0</v>
      </c>
      <c r="C402" s="92">
        <f>('Цены на металл '!AA401*'Цены на металл '!$B$4*1.4)+'Цены на металл '!AB401</f>
        <v>0</v>
      </c>
      <c r="D402" s="92">
        <f t="shared" si="46"/>
        <v>0</v>
      </c>
      <c r="E402" s="92">
        <f t="shared" si="47"/>
        <v>0</v>
      </c>
      <c r="F402" s="92">
        <f t="shared" si="47"/>
        <v>0</v>
      </c>
      <c r="G402" s="92">
        <f t="shared" si="47"/>
        <v>0</v>
      </c>
      <c r="H402" s="124">
        <f t="shared" si="42"/>
        <v>0</v>
      </c>
      <c r="I402" s="124">
        <f t="shared" si="43"/>
        <v>0</v>
      </c>
      <c r="J402" s="125">
        <f t="shared" si="44"/>
        <v>0</v>
      </c>
    </row>
    <row r="403" spans="1:10" ht="14.95" customHeight="1">
      <c r="A403" s="10" t="s">
        <v>1598</v>
      </c>
      <c r="B403" s="92">
        <f t="shared" si="45"/>
        <v>202.6044</v>
      </c>
      <c r="C403" s="92">
        <f>('Цены на металл '!AA402*'Цены на металл '!$B$4*1.4)+'Цены на металл '!AB402</f>
        <v>225.11599999999999</v>
      </c>
      <c r="D403" s="92">
        <f t="shared" si="46"/>
        <v>247.6276</v>
      </c>
      <c r="E403" s="92">
        <f t="shared" si="47"/>
        <v>270.13919999999996</v>
      </c>
      <c r="F403" s="92">
        <f t="shared" si="47"/>
        <v>297.15312</v>
      </c>
      <c r="G403" s="92">
        <f t="shared" si="47"/>
        <v>324.16703999999993</v>
      </c>
      <c r="H403" s="124">
        <f t="shared" si="42"/>
        <v>450.23199999999997</v>
      </c>
      <c r="I403" s="124">
        <f t="shared" si="43"/>
        <v>495.2552</v>
      </c>
      <c r="J403" s="125">
        <f t="shared" si="44"/>
        <v>675.34799999999996</v>
      </c>
    </row>
    <row r="404" spans="1:10" ht="14.95" customHeight="1">
      <c r="A404" s="10" t="s">
        <v>1599</v>
      </c>
      <c r="B404" s="92">
        <f t="shared" si="45"/>
        <v>204.57000000000002</v>
      </c>
      <c r="C404" s="92">
        <f>('Цены на металл '!AA403*'Цены на металл '!$B$4*1.4)+'Цены на металл '!AB403</f>
        <v>227.3</v>
      </c>
      <c r="D404" s="92">
        <f t="shared" si="46"/>
        <v>250.03000000000003</v>
      </c>
      <c r="E404" s="92">
        <f t="shared" si="47"/>
        <v>272.76</v>
      </c>
      <c r="F404" s="92">
        <f t="shared" si="47"/>
        <v>300.036</v>
      </c>
      <c r="G404" s="92">
        <f t="shared" si="47"/>
        <v>327.31199999999995</v>
      </c>
      <c r="H404" s="124">
        <f t="shared" si="42"/>
        <v>454.6</v>
      </c>
      <c r="I404" s="124">
        <f t="shared" si="43"/>
        <v>500.06000000000006</v>
      </c>
      <c r="J404" s="125">
        <f t="shared" si="44"/>
        <v>681.90000000000009</v>
      </c>
    </row>
    <row r="405" spans="1:10" ht="14.95" customHeight="1">
      <c r="A405" s="10" t="s">
        <v>1600</v>
      </c>
      <c r="B405" s="92">
        <f t="shared" si="45"/>
        <v>206.12610000000001</v>
      </c>
      <c r="C405" s="92">
        <f>('Цены на металл '!AA404*'Цены на металл '!$B$4*1.4)+'Цены на металл '!AB404</f>
        <v>229.029</v>
      </c>
      <c r="D405" s="92">
        <f t="shared" si="46"/>
        <v>251.93190000000001</v>
      </c>
      <c r="E405" s="92">
        <f t="shared" si="47"/>
        <v>274.83479999999997</v>
      </c>
      <c r="F405" s="92">
        <f t="shared" si="47"/>
        <v>302.31828000000002</v>
      </c>
      <c r="G405" s="92">
        <f t="shared" si="47"/>
        <v>329.80175999999994</v>
      </c>
      <c r="H405" s="124">
        <f t="shared" si="42"/>
        <v>458.05799999999999</v>
      </c>
      <c r="I405" s="124">
        <f t="shared" si="43"/>
        <v>503.86380000000003</v>
      </c>
      <c r="J405" s="125">
        <f t="shared" si="44"/>
        <v>687.08699999999999</v>
      </c>
    </row>
    <row r="406" spans="1:10" ht="14.95" customHeight="1">
      <c r="A406" s="10" t="s">
        <v>1601</v>
      </c>
      <c r="B406" s="92">
        <f t="shared" si="45"/>
        <v>207.43650000000002</v>
      </c>
      <c r="C406" s="92">
        <f>('Цены на металл '!AA405*'Цены на металл '!$B$4*1.4)+'Цены на металл '!AB405</f>
        <v>230.48500000000001</v>
      </c>
      <c r="D406" s="92">
        <f t="shared" si="46"/>
        <v>253.53350000000003</v>
      </c>
      <c r="E406" s="92">
        <f t="shared" si="47"/>
        <v>276.58199999999999</v>
      </c>
      <c r="F406" s="92">
        <f t="shared" si="47"/>
        <v>304.24020000000002</v>
      </c>
      <c r="G406" s="92">
        <f t="shared" si="47"/>
        <v>331.89839999999998</v>
      </c>
      <c r="H406" s="124">
        <f t="shared" si="42"/>
        <v>460.97</v>
      </c>
      <c r="I406" s="124">
        <f t="shared" si="43"/>
        <v>507.06700000000006</v>
      </c>
      <c r="J406" s="125">
        <f t="shared" si="44"/>
        <v>691.45500000000004</v>
      </c>
    </row>
    <row r="407" spans="1:10" ht="14.95" customHeight="1">
      <c r="A407" s="10" t="s">
        <v>1602</v>
      </c>
      <c r="B407" s="92">
        <f t="shared" si="45"/>
        <v>225.2088</v>
      </c>
      <c r="C407" s="92">
        <f>('Цены на металл '!AA406*'Цены на металл '!$B$4*1.4)+'Цены на металл '!AB406</f>
        <v>250.232</v>
      </c>
      <c r="D407" s="92">
        <f t="shared" si="46"/>
        <v>275.2552</v>
      </c>
      <c r="E407" s="92">
        <f t="shared" si="47"/>
        <v>300.27839999999998</v>
      </c>
      <c r="F407" s="92">
        <f t="shared" si="47"/>
        <v>330.30624</v>
      </c>
      <c r="G407" s="92">
        <f t="shared" si="47"/>
        <v>360.33407999999997</v>
      </c>
      <c r="H407" s="124">
        <f t="shared" si="42"/>
        <v>500.464</v>
      </c>
      <c r="I407" s="124">
        <f t="shared" si="43"/>
        <v>550.5104</v>
      </c>
      <c r="J407" s="125">
        <f t="shared" si="44"/>
        <v>750.69600000000003</v>
      </c>
    </row>
    <row r="408" spans="1:10" ht="14.95" customHeight="1">
      <c r="A408" s="10" t="s">
        <v>1603</v>
      </c>
      <c r="B408" s="92">
        <f t="shared" si="45"/>
        <v>230.85989999999998</v>
      </c>
      <c r="C408" s="92">
        <f>('Цены на металл '!AA407*'Цены на металл '!$B$4*1.4)+'Цены на металл '!AB407</f>
        <v>256.51099999999997</v>
      </c>
      <c r="D408" s="92">
        <f t="shared" si="46"/>
        <v>282.16210000000001</v>
      </c>
      <c r="E408" s="92">
        <f t="shared" si="47"/>
        <v>307.81319999999994</v>
      </c>
      <c r="F408" s="92">
        <f t="shared" si="47"/>
        <v>338.59451999999999</v>
      </c>
      <c r="G408" s="92">
        <f t="shared" si="47"/>
        <v>369.37583999999993</v>
      </c>
      <c r="H408" s="124">
        <f t="shared" si="42"/>
        <v>513.02199999999993</v>
      </c>
      <c r="I408" s="124">
        <f t="shared" si="43"/>
        <v>564.32420000000002</v>
      </c>
      <c r="J408" s="125">
        <f t="shared" si="44"/>
        <v>769.5329999999999</v>
      </c>
    </row>
    <row r="409" spans="1:10" ht="14.95" customHeight="1">
      <c r="A409" s="10" t="s">
        <v>1604</v>
      </c>
      <c r="B409" s="92">
        <f t="shared" si="45"/>
        <v>233.23499999999999</v>
      </c>
      <c r="C409" s="92">
        <f>('Цены на металл '!AA408*'Цены на металл '!$B$4*1.4)+'Цены на металл '!AB408</f>
        <v>259.14999999999998</v>
      </c>
      <c r="D409" s="92">
        <f t="shared" si="46"/>
        <v>285.065</v>
      </c>
      <c r="E409" s="92">
        <f t="shared" si="47"/>
        <v>310.97999999999996</v>
      </c>
      <c r="F409" s="92">
        <f t="shared" si="47"/>
        <v>342.07799999999997</v>
      </c>
      <c r="G409" s="92">
        <f t="shared" si="47"/>
        <v>373.17599999999993</v>
      </c>
      <c r="H409" s="124">
        <f t="shared" si="42"/>
        <v>518.29999999999995</v>
      </c>
      <c r="I409" s="124">
        <f t="shared" si="43"/>
        <v>570.13</v>
      </c>
      <c r="J409" s="125">
        <f t="shared" si="44"/>
        <v>777.44999999999993</v>
      </c>
    </row>
    <row r="410" spans="1:10" ht="14.95" customHeight="1">
      <c r="A410" s="10" t="s">
        <v>1605</v>
      </c>
      <c r="B410" s="92">
        <f t="shared" si="45"/>
        <v>249.61500000000004</v>
      </c>
      <c r="C410" s="92">
        <f>('Цены на металл '!AA409*'Цены на металл '!$B$4*1.4)+'Цены на металл '!AB409</f>
        <v>277.35000000000002</v>
      </c>
      <c r="D410" s="92">
        <f t="shared" si="46"/>
        <v>305.08500000000004</v>
      </c>
      <c r="E410" s="92">
        <f t="shared" si="47"/>
        <v>332.82</v>
      </c>
      <c r="F410" s="92">
        <f t="shared" si="47"/>
        <v>366.10200000000003</v>
      </c>
      <c r="G410" s="92">
        <f t="shared" si="47"/>
        <v>399.38399999999996</v>
      </c>
      <c r="H410" s="124">
        <f t="shared" si="42"/>
        <v>554.70000000000005</v>
      </c>
      <c r="I410" s="124">
        <f t="shared" si="43"/>
        <v>610.17000000000007</v>
      </c>
      <c r="J410" s="125">
        <f t="shared" si="44"/>
        <v>832.05000000000007</v>
      </c>
    </row>
    <row r="411" spans="1:10" ht="14.95" customHeight="1">
      <c r="A411" s="10" t="s">
        <v>1606</v>
      </c>
      <c r="B411" s="92">
        <f t="shared" si="45"/>
        <v>256.90409999999997</v>
      </c>
      <c r="C411" s="92">
        <f>('Цены на металл '!AA410*'Цены на металл '!$B$4*1.4)+'Цены на металл '!AB410</f>
        <v>285.44899999999996</v>
      </c>
      <c r="D411" s="92">
        <f t="shared" si="46"/>
        <v>313.9939</v>
      </c>
      <c r="E411" s="92">
        <f t="shared" si="47"/>
        <v>342.53879999999992</v>
      </c>
      <c r="F411" s="92">
        <f t="shared" si="47"/>
        <v>376.79267999999996</v>
      </c>
      <c r="G411" s="92">
        <f t="shared" si="47"/>
        <v>411.04655999999989</v>
      </c>
      <c r="H411" s="124">
        <f t="shared" si="42"/>
        <v>570.89799999999991</v>
      </c>
      <c r="I411" s="124">
        <f t="shared" si="43"/>
        <v>627.98779999999999</v>
      </c>
      <c r="J411" s="125">
        <f t="shared" si="44"/>
        <v>856.34699999999987</v>
      </c>
    </row>
    <row r="412" spans="1:10" ht="14.95" customHeight="1">
      <c r="A412" s="10" t="s">
        <v>1607</v>
      </c>
      <c r="B412" s="92">
        <f t="shared" si="45"/>
        <v>246.01140000000001</v>
      </c>
      <c r="C412" s="92">
        <f>('Цены на металл '!AA411*'Цены на металл '!$B$4*1.4)+'Цены на металл '!AB411</f>
        <v>273.346</v>
      </c>
      <c r="D412" s="92">
        <f t="shared" si="46"/>
        <v>300.68060000000003</v>
      </c>
      <c r="E412" s="92">
        <f t="shared" si="47"/>
        <v>328.01519999999999</v>
      </c>
      <c r="F412" s="92">
        <f t="shared" si="47"/>
        <v>360.81672000000003</v>
      </c>
      <c r="G412" s="92">
        <f t="shared" si="47"/>
        <v>393.61823999999996</v>
      </c>
      <c r="H412" s="124">
        <f t="shared" si="42"/>
        <v>546.69200000000001</v>
      </c>
      <c r="I412" s="124">
        <f t="shared" si="43"/>
        <v>601.36120000000005</v>
      </c>
      <c r="J412" s="125">
        <f t="shared" si="44"/>
        <v>820.03800000000001</v>
      </c>
    </row>
    <row r="413" spans="1:10" ht="14.95" customHeight="1">
      <c r="A413" s="10" t="s">
        <v>1608</v>
      </c>
      <c r="B413" s="92">
        <f t="shared" si="45"/>
        <v>253.62809999999999</v>
      </c>
      <c r="C413" s="92">
        <f>('Цены на металл '!AA412*'Цены на металл '!$B$4*1.4)+'Цены на металл '!AB412</f>
        <v>281.80899999999997</v>
      </c>
      <c r="D413" s="92">
        <f t="shared" si="46"/>
        <v>309.98989999999998</v>
      </c>
      <c r="E413" s="92">
        <f t="shared" si="47"/>
        <v>338.17079999999993</v>
      </c>
      <c r="F413" s="92">
        <f t="shared" si="47"/>
        <v>371.98787999999996</v>
      </c>
      <c r="G413" s="92">
        <f t="shared" si="47"/>
        <v>405.80495999999988</v>
      </c>
      <c r="H413" s="124">
        <f t="shared" si="42"/>
        <v>563.61799999999994</v>
      </c>
      <c r="I413" s="124">
        <f t="shared" si="43"/>
        <v>619.97979999999995</v>
      </c>
      <c r="J413" s="125">
        <f t="shared" si="44"/>
        <v>845.42699999999991</v>
      </c>
    </row>
    <row r="414" spans="1:10" ht="14.95" customHeight="1">
      <c r="A414" s="10" t="s">
        <v>1609</v>
      </c>
      <c r="B414" s="92">
        <f t="shared" si="45"/>
        <v>263.86559999999997</v>
      </c>
      <c r="C414" s="92">
        <f>('Цены на металл '!AA413*'Цены на металл '!$B$4*1.4)+'Цены на металл '!AB413</f>
        <v>293.18399999999997</v>
      </c>
      <c r="D414" s="92">
        <f t="shared" si="46"/>
        <v>322.50239999999997</v>
      </c>
      <c r="E414" s="92">
        <f t="shared" si="47"/>
        <v>351.82079999999996</v>
      </c>
      <c r="F414" s="92">
        <f t="shared" si="47"/>
        <v>387.00287999999995</v>
      </c>
      <c r="G414" s="92">
        <f t="shared" si="47"/>
        <v>422.18495999999993</v>
      </c>
      <c r="H414" s="124">
        <f t="shared" si="42"/>
        <v>586.36799999999994</v>
      </c>
      <c r="I414" s="124">
        <f t="shared" si="43"/>
        <v>645.00479999999993</v>
      </c>
      <c r="J414" s="125">
        <f t="shared" si="44"/>
        <v>879.55199999999991</v>
      </c>
    </row>
    <row r="415" spans="1:10" ht="14.95" customHeight="1">
      <c r="A415" s="10" t="s">
        <v>1610</v>
      </c>
      <c r="B415" s="92">
        <f t="shared" si="45"/>
        <v>280.24560000000002</v>
      </c>
      <c r="C415" s="92">
        <f>('Цены на металл '!AA414*'Цены на металл '!$B$4*1.4)+'Цены на металл '!AB414</f>
        <v>311.38400000000001</v>
      </c>
      <c r="D415" s="92">
        <f t="shared" si="46"/>
        <v>342.52240000000006</v>
      </c>
      <c r="E415" s="92">
        <f t="shared" si="47"/>
        <v>373.66079999999999</v>
      </c>
      <c r="F415" s="92">
        <f t="shared" si="47"/>
        <v>411.02688000000006</v>
      </c>
      <c r="G415" s="92">
        <f t="shared" si="47"/>
        <v>448.39295999999996</v>
      </c>
      <c r="H415" s="124">
        <f t="shared" si="42"/>
        <v>622.76800000000003</v>
      </c>
      <c r="I415" s="124">
        <f t="shared" si="43"/>
        <v>685.04480000000012</v>
      </c>
      <c r="J415" s="125">
        <f t="shared" si="44"/>
        <v>934.15200000000004</v>
      </c>
    </row>
    <row r="416" spans="1:10" ht="14.95" customHeight="1">
      <c r="A416" s="10" t="s">
        <v>1611</v>
      </c>
      <c r="B416" s="92">
        <f t="shared" si="45"/>
        <v>271.64609999999999</v>
      </c>
      <c r="C416" s="92">
        <f>('Цены на металл '!AA415*'Цены на металл '!$B$4*1.4)+'Цены на металл '!AB415</f>
        <v>301.82900000000001</v>
      </c>
      <c r="D416" s="92">
        <f t="shared" si="46"/>
        <v>332.01190000000003</v>
      </c>
      <c r="E416" s="92">
        <f t="shared" si="47"/>
        <v>362.19479999999999</v>
      </c>
      <c r="F416" s="92">
        <f t="shared" si="47"/>
        <v>398.41428000000002</v>
      </c>
      <c r="G416" s="92">
        <f t="shared" si="47"/>
        <v>434.63376</v>
      </c>
      <c r="H416" s="124">
        <f t="shared" si="42"/>
        <v>603.65800000000002</v>
      </c>
      <c r="I416" s="124">
        <f t="shared" si="43"/>
        <v>664.02380000000005</v>
      </c>
      <c r="J416" s="125">
        <f t="shared" si="44"/>
        <v>905.48700000000008</v>
      </c>
    </row>
    <row r="417" spans="1:10" ht="14.95" customHeight="1">
      <c r="A417" s="10" t="s">
        <v>1612</v>
      </c>
      <c r="B417" s="92">
        <f t="shared" si="45"/>
        <v>278.27999999999997</v>
      </c>
      <c r="C417" s="92">
        <f>('Цены на металл '!AA416*'Цены на металл '!$B$4*1.4)+'Цены на металл '!AB416</f>
        <v>309.2</v>
      </c>
      <c r="D417" s="92">
        <f t="shared" si="46"/>
        <v>340.12</v>
      </c>
      <c r="E417" s="92">
        <f t="shared" si="47"/>
        <v>371.03999999999996</v>
      </c>
      <c r="F417" s="92">
        <f t="shared" si="47"/>
        <v>408.14400000000001</v>
      </c>
      <c r="G417" s="92">
        <f t="shared" si="47"/>
        <v>445.24799999999993</v>
      </c>
      <c r="H417" s="124">
        <f t="shared" si="42"/>
        <v>618.4</v>
      </c>
      <c r="I417" s="124">
        <f t="shared" si="43"/>
        <v>680.24</v>
      </c>
      <c r="J417" s="125">
        <f t="shared" si="44"/>
        <v>927.59999999999991</v>
      </c>
    </row>
    <row r="418" spans="1:10" ht="14.95" customHeight="1">
      <c r="A418" s="10" t="s">
        <v>1613</v>
      </c>
      <c r="B418" s="92">
        <f t="shared" si="45"/>
        <v>282.375</v>
      </c>
      <c r="C418" s="92">
        <f>('Цены на металл '!AA417*'Цены на металл '!$B$4*1.4)+'Цены на металл '!AB417</f>
        <v>313.75</v>
      </c>
      <c r="D418" s="92">
        <f t="shared" si="46"/>
        <v>345.125</v>
      </c>
      <c r="E418" s="92">
        <f t="shared" si="47"/>
        <v>376.5</v>
      </c>
      <c r="F418" s="92">
        <f t="shared" si="47"/>
        <v>414.15</v>
      </c>
      <c r="G418" s="92">
        <f t="shared" si="47"/>
        <v>451.8</v>
      </c>
      <c r="H418" s="124">
        <f t="shared" si="42"/>
        <v>627.5</v>
      </c>
      <c r="I418" s="124">
        <f t="shared" si="43"/>
        <v>690.25</v>
      </c>
      <c r="J418" s="125">
        <f t="shared" si="44"/>
        <v>941.25</v>
      </c>
    </row>
    <row r="419" spans="1:10" ht="14.95" customHeight="1">
      <c r="A419" s="10" t="s">
        <v>1614</v>
      </c>
      <c r="B419" s="92">
        <f t="shared" si="45"/>
        <v>296.62560000000002</v>
      </c>
      <c r="C419" s="92">
        <f>('Цены на металл '!AA418*'Цены на металл '!$B$4*1.4)+'Цены на металл '!AB418</f>
        <v>329.584</v>
      </c>
      <c r="D419" s="92">
        <f t="shared" si="46"/>
        <v>362.54240000000004</v>
      </c>
      <c r="E419" s="92">
        <f t="shared" si="47"/>
        <v>395.50079999999997</v>
      </c>
      <c r="F419" s="92">
        <f t="shared" si="47"/>
        <v>435.05088000000006</v>
      </c>
      <c r="G419" s="92">
        <f t="shared" si="47"/>
        <v>474.60095999999993</v>
      </c>
      <c r="H419" s="124">
        <f t="shared" si="42"/>
        <v>659.16800000000001</v>
      </c>
      <c r="I419" s="124">
        <f t="shared" si="43"/>
        <v>725.08480000000009</v>
      </c>
      <c r="J419" s="125">
        <f t="shared" si="44"/>
        <v>988.75199999999995</v>
      </c>
    </row>
    <row r="420" spans="1:10" ht="14.95" customHeight="1">
      <c r="A420" s="10" t="s">
        <v>1615</v>
      </c>
      <c r="B420" s="92">
        <f t="shared" si="45"/>
        <v>314.88929999999999</v>
      </c>
      <c r="C420" s="92">
        <f>('Цены на металл '!AA419*'Цены на металл '!$B$4*1.4)+'Цены на металл '!AB419</f>
        <v>349.87700000000001</v>
      </c>
      <c r="D420" s="92">
        <f t="shared" si="46"/>
        <v>384.86470000000003</v>
      </c>
      <c r="E420" s="92">
        <f t="shared" si="47"/>
        <v>419.85239999999999</v>
      </c>
      <c r="F420" s="92">
        <f t="shared" si="47"/>
        <v>461.83764000000002</v>
      </c>
      <c r="G420" s="92">
        <f t="shared" si="47"/>
        <v>503.82287999999994</v>
      </c>
      <c r="H420" s="124">
        <f t="shared" si="42"/>
        <v>699.75400000000002</v>
      </c>
      <c r="I420" s="124">
        <f t="shared" si="43"/>
        <v>769.72940000000006</v>
      </c>
      <c r="J420" s="125">
        <f t="shared" si="44"/>
        <v>1049.6310000000001</v>
      </c>
    </row>
    <row r="421" spans="1:10" ht="14.95" customHeight="1">
      <c r="A421" s="10" t="s">
        <v>1616</v>
      </c>
      <c r="B421" s="92">
        <f t="shared" si="45"/>
        <v>331.26929999999999</v>
      </c>
      <c r="C421" s="92">
        <f>('Цены на металл '!AA420*'Цены на металл '!$B$4*1.4)+'Цены на металл '!AB420</f>
        <v>368.077</v>
      </c>
      <c r="D421" s="92">
        <f t="shared" si="46"/>
        <v>404.88470000000001</v>
      </c>
      <c r="E421" s="92">
        <f t="shared" si="47"/>
        <v>441.69239999999996</v>
      </c>
      <c r="F421" s="92">
        <f t="shared" si="47"/>
        <v>485.86163999999997</v>
      </c>
      <c r="G421" s="92">
        <f t="shared" si="47"/>
        <v>530.03087999999991</v>
      </c>
      <c r="H421" s="124">
        <f t="shared" si="42"/>
        <v>736.154</v>
      </c>
      <c r="I421" s="124">
        <f t="shared" si="43"/>
        <v>809.76940000000002</v>
      </c>
      <c r="J421" s="125">
        <f t="shared" si="44"/>
        <v>1104.231</v>
      </c>
    </row>
    <row r="422" spans="1:10" ht="14.95" customHeight="1">
      <c r="A422" s="10" t="s">
        <v>1617</v>
      </c>
      <c r="B422" s="92">
        <f t="shared" si="45"/>
        <v>347.64929999999998</v>
      </c>
      <c r="C422" s="92">
        <f>('Цены на металл '!AA421*'Цены на металл '!$B$4*1.4)+'Цены на металл '!AB421</f>
        <v>386.27699999999999</v>
      </c>
      <c r="D422" s="92">
        <f t="shared" si="46"/>
        <v>424.90470000000005</v>
      </c>
      <c r="E422" s="92">
        <f t="shared" si="47"/>
        <v>463.53239999999994</v>
      </c>
      <c r="F422" s="92">
        <f t="shared" si="47"/>
        <v>509.88564000000002</v>
      </c>
      <c r="G422" s="92">
        <f t="shared" si="47"/>
        <v>556.23887999999988</v>
      </c>
      <c r="H422" s="124">
        <f t="shared" si="42"/>
        <v>772.55399999999997</v>
      </c>
      <c r="I422" s="124">
        <f t="shared" si="43"/>
        <v>849.8094000000001</v>
      </c>
      <c r="J422" s="125">
        <f t="shared" si="44"/>
        <v>1158.8309999999999</v>
      </c>
    </row>
    <row r="423" spans="1:10" ht="14.95" customHeight="1">
      <c r="A423" s="10" t="s">
        <v>1618</v>
      </c>
      <c r="B423" s="92">
        <f t="shared" si="45"/>
        <v>282.375</v>
      </c>
      <c r="C423" s="92">
        <f>('Цены на металл '!AA422*'Цены на металл '!$B$4*1.4)+'Цены на металл '!AB422</f>
        <v>313.75</v>
      </c>
      <c r="D423" s="92">
        <f t="shared" si="46"/>
        <v>345.125</v>
      </c>
      <c r="E423" s="92">
        <f t="shared" si="47"/>
        <v>376.5</v>
      </c>
      <c r="F423" s="92">
        <f t="shared" si="47"/>
        <v>414.15</v>
      </c>
      <c r="G423" s="92">
        <f t="shared" si="47"/>
        <v>451.8</v>
      </c>
      <c r="H423" s="124">
        <f t="shared" si="42"/>
        <v>627.5</v>
      </c>
      <c r="I423" s="124">
        <f t="shared" si="43"/>
        <v>690.25</v>
      </c>
      <c r="J423" s="125">
        <f t="shared" si="44"/>
        <v>941.25</v>
      </c>
    </row>
    <row r="424" spans="1:10" ht="14.95" customHeight="1">
      <c r="A424" s="10" t="s">
        <v>1619</v>
      </c>
      <c r="B424" s="92">
        <f t="shared" si="45"/>
        <v>290.56500000000005</v>
      </c>
      <c r="C424" s="92">
        <f>('Цены на металл '!AA423*'Цены на металл '!$B$4*1.4)+'Цены на металл '!AB423</f>
        <v>322.85000000000002</v>
      </c>
      <c r="D424" s="92">
        <f t="shared" si="46"/>
        <v>355.13500000000005</v>
      </c>
      <c r="E424" s="92">
        <f t="shared" si="47"/>
        <v>387.42</v>
      </c>
      <c r="F424" s="92">
        <f t="shared" si="47"/>
        <v>426.16200000000003</v>
      </c>
      <c r="G424" s="92">
        <f t="shared" si="47"/>
        <v>464.904</v>
      </c>
      <c r="H424" s="124">
        <f t="shared" si="42"/>
        <v>645.70000000000005</v>
      </c>
      <c r="I424" s="124">
        <f t="shared" si="43"/>
        <v>710.2700000000001</v>
      </c>
      <c r="J424" s="125">
        <f t="shared" si="44"/>
        <v>968.55000000000007</v>
      </c>
    </row>
    <row r="425" spans="1:10" ht="14.95" customHeight="1">
      <c r="A425" s="10" t="s">
        <v>1620</v>
      </c>
      <c r="B425" s="92">
        <f t="shared" si="45"/>
        <v>298.755</v>
      </c>
      <c r="C425" s="92">
        <f>('Цены на металл '!AA424*'Цены на металл '!$B$4*1.4)+'Цены на металл '!AB424</f>
        <v>331.95</v>
      </c>
      <c r="D425" s="92">
        <f t="shared" si="46"/>
        <v>365.14500000000004</v>
      </c>
      <c r="E425" s="92">
        <f t="shared" si="47"/>
        <v>398.34</v>
      </c>
      <c r="F425" s="92">
        <f t="shared" si="47"/>
        <v>438.17400000000004</v>
      </c>
      <c r="G425" s="92">
        <f t="shared" si="47"/>
        <v>478.00799999999992</v>
      </c>
      <c r="H425" s="124">
        <f t="shared" si="42"/>
        <v>663.9</v>
      </c>
      <c r="I425" s="124">
        <f t="shared" si="43"/>
        <v>730.29000000000008</v>
      </c>
      <c r="J425" s="125">
        <f t="shared" si="44"/>
        <v>995.84999999999991</v>
      </c>
    </row>
    <row r="426" spans="1:10" ht="14.95" customHeight="1">
      <c r="A426" s="10" t="s">
        <v>1621</v>
      </c>
      <c r="B426" s="92">
        <f t="shared" si="45"/>
        <v>315.13499999999999</v>
      </c>
      <c r="C426" s="92">
        <f>('Цены на металл '!AA425*'Цены на металл '!$B$4*1.4)+'Цены на металл '!AB425</f>
        <v>350.15</v>
      </c>
      <c r="D426" s="92">
        <f t="shared" si="46"/>
        <v>385.16500000000002</v>
      </c>
      <c r="E426" s="92">
        <f t="shared" si="47"/>
        <v>420.17999999999995</v>
      </c>
      <c r="F426" s="92">
        <f t="shared" si="47"/>
        <v>462.19799999999998</v>
      </c>
      <c r="G426" s="92">
        <f t="shared" si="47"/>
        <v>504.21599999999989</v>
      </c>
      <c r="H426" s="124">
        <f t="shared" si="42"/>
        <v>700.3</v>
      </c>
      <c r="I426" s="124">
        <f t="shared" si="43"/>
        <v>770.33</v>
      </c>
      <c r="J426" s="125">
        <f t="shared" si="44"/>
        <v>1050.4499999999998</v>
      </c>
    </row>
    <row r="427" spans="1:10" ht="14.95" customHeight="1">
      <c r="A427" s="10" t="s">
        <v>1622</v>
      </c>
      <c r="B427" s="92">
        <f t="shared" si="45"/>
        <v>331.51500000000004</v>
      </c>
      <c r="C427" s="92">
        <f>('Цены на металл '!AA426*'Цены на металл '!$B$4*1.4)+'Цены на металл '!AB426</f>
        <v>368.35</v>
      </c>
      <c r="D427" s="92">
        <f t="shared" si="46"/>
        <v>405.18500000000006</v>
      </c>
      <c r="E427" s="92">
        <f t="shared" si="47"/>
        <v>442.02000000000004</v>
      </c>
      <c r="F427" s="92">
        <f t="shared" si="47"/>
        <v>486.22200000000004</v>
      </c>
      <c r="G427" s="92">
        <f t="shared" si="47"/>
        <v>530.42399999999998</v>
      </c>
      <c r="H427" s="124">
        <f t="shared" si="42"/>
        <v>736.7</v>
      </c>
      <c r="I427" s="124">
        <f t="shared" si="43"/>
        <v>810.37000000000012</v>
      </c>
      <c r="J427" s="125">
        <f t="shared" si="44"/>
        <v>1105.0500000000002</v>
      </c>
    </row>
    <row r="428" spans="1:10" ht="14.95" customHeight="1">
      <c r="A428" s="10" t="s">
        <v>1623</v>
      </c>
      <c r="B428" s="92">
        <f t="shared" si="45"/>
        <v>296.21610000000004</v>
      </c>
      <c r="C428" s="92">
        <f>('Цены на металл '!AA427*'Цены на металл '!$B$4*1.4)+'Цены на металл '!AB427</f>
        <v>329.12900000000002</v>
      </c>
      <c r="D428" s="92">
        <f t="shared" si="46"/>
        <v>362.04190000000006</v>
      </c>
      <c r="E428" s="92">
        <f t="shared" si="47"/>
        <v>394.95480000000003</v>
      </c>
      <c r="F428" s="92">
        <f t="shared" si="47"/>
        <v>434.45028000000008</v>
      </c>
      <c r="G428" s="92">
        <f t="shared" si="47"/>
        <v>473.94576000000001</v>
      </c>
      <c r="H428" s="124">
        <f t="shared" si="42"/>
        <v>658.25800000000004</v>
      </c>
      <c r="I428" s="124">
        <f t="shared" si="43"/>
        <v>724.08380000000011</v>
      </c>
      <c r="J428" s="125">
        <f t="shared" si="44"/>
        <v>987.38700000000006</v>
      </c>
    </row>
    <row r="429" spans="1:10" ht="14.95" customHeight="1">
      <c r="A429" s="10" t="s">
        <v>1624</v>
      </c>
      <c r="B429" s="92">
        <f t="shared" si="45"/>
        <v>302.5224</v>
      </c>
      <c r="C429" s="92">
        <f>('Цены на металл '!AA428*'Цены на металл '!$B$4*1.4)+'Цены на металл '!AB428</f>
        <v>336.13599999999997</v>
      </c>
      <c r="D429" s="92">
        <f t="shared" si="46"/>
        <v>369.74959999999999</v>
      </c>
      <c r="E429" s="92">
        <f t="shared" si="47"/>
        <v>403.36319999999995</v>
      </c>
      <c r="F429" s="92">
        <f t="shared" si="47"/>
        <v>443.69951999999995</v>
      </c>
      <c r="G429" s="92">
        <f t="shared" si="47"/>
        <v>484.03583999999989</v>
      </c>
      <c r="H429" s="124">
        <f t="shared" si="42"/>
        <v>672.27199999999993</v>
      </c>
      <c r="I429" s="124">
        <f t="shared" si="43"/>
        <v>739.49919999999997</v>
      </c>
      <c r="J429" s="125">
        <f t="shared" si="44"/>
        <v>1008.4079999999999</v>
      </c>
    </row>
    <row r="430" spans="1:10" ht="14.95" customHeight="1">
      <c r="A430" s="10" t="s">
        <v>1625</v>
      </c>
      <c r="B430" s="92">
        <f t="shared" si="45"/>
        <v>306.94499999999999</v>
      </c>
      <c r="C430" s="92">
        <f>('Цены на металл '!AA429*'Цены на металл '!$B$4*1.4)+'Цены на металл '!AB429</f>
        <v>341.04999999999995</v>
      </c>
      <c r="D430" s="92">
        <f t="shared" si="46"/>
        <v>375.15499999999997</v>
      </c>
      <c r="E430" s="92">
        <f t="shared" si="47"/>
        <v>409.25999999999993</v>
      </c>
      <c r="F430" s="92">
        <f t="shared" si="47"/>
        <v>450.18599999999998</v>
      </c>
      <c r="G430" s="92">
        <f t="shared" si="47"/>
        <v>491.11199999999991</v>
      </c>
      <c r="H430" s="124">
        <f t="shared" si="42"/>
        <v>682.09999999999991</v>
      </c>
      <c r="I430" s="124">
        <f t="shared" si="43"/>
        <v>750.31</v>
      </c>
      <c r="J430" s="125">
        <f t="shared" si="44"/>
        <v>1023.1499999999999</v>
      </c>
    </row>
    <row r="431" spans="1:10" ht="14.95" customHeight="1">
      <c r="A431" s="10" t="s">
        <v>1626</v>
      </c>
      <c r="B431" s="92">
        <f t="shared" si="45"/>
        <v>315.62640000000005</v>
      </c>
      <c r="C431" s="92">
        <f>('Цены на металл '!AA430*'Цены на металл '!$B$4*1.4)+'Цены на металл '!AB430</f>
        <v>350.69600000000003</v>
      </c>
      <c r="D431" s="92">
        <f t="shared" si="46"/>
        <v>385.76560000000006</v>
      </c>
      <c r="E431" s="92">
        <f t="shared" si="47"/>
        <v>420.83520000000004</v>
      </c>
      <c r="F431" s="92">
        <f t="shared" si="47"/>
        <v>462.91872000000006</v>
      </c>
      <c r="G431" s="92">
        <f t="shared" si="47"/>
        <v>505.00224000000003</v>
      </c>
      <c r="H431" s="124">
        <f t="shared" si="42"/>
        <v>701.39200000000005</v>
      </c>
      <c r="I431" s="124">
        <f t="shared" si="43"/>
        <v>771.53120000000013</v>
      </c>
      <c r="J431" s="125">
        <f t="shared" si="44"/>
        <v>1052.0880000000002</v>
      </c>
    </row>
    <row r="432" spans="1:10" ht="14.95" customHeight="1">
      <c r="A432" s="10" t="s">
        <v>1627</v>
      </c>
      <c r="B432" s="92">
        <f t="shared" si="45"/>
        <v>326.27339999999998</v>
      </c>
      <c r="C432" s="92">
        <f>('Цены на металл '!AA431*'Цены на металл '!$B$4*1.4)+'Цены на металл '!AB431</f>
        <v>362.52599999999995</v>
      </c>
      <c r="D432" s="92">
        <f t="shared" si="46"/>
        <v>398.77859999999998</v>
      </c>
      <c r="E432" s="92">
        <f t="shared" si="47"/>
        <v>435.03119999999996</v>
      </c>
      <c r="F432" s="92">
        <f t="shared" si="47"/>
        <v>478.53431999999998</v>
      </c>
      <c r="G432" s="92">
        <f t="shared" si="47"/>
        <v>522.03743999999995</v>
      </c>
      <c r="H432" s="124">
        <f t="shared" si="42"/>
        <v>725.05199999999991</v>
      </c>
      <c r="I432" s="124">
        <f t="shared" si="43"/>
        <v>797.55719999999997</v>
      </c>
      <c r="J432" s="125">
        <f t="shared" si="44"/>
        <v>1087.578</v>
      </c>
    </row>
    <row r="433" spans="1:10" ht="14.95" customHeight="1">
      <c r="A433" s="10" t="s">
        <v>1628</v>
      </c>
      <c r="B433" s="92">
        <f t="shared" si="45"/>
        <v>366.89580000000007</v>
      </c>
      <c r="C433" s="92">
        <f>('Цены на металл '!AA432*'Цены на металл '!$B$4*1.4)+'Цены на металл '!AB432</f>
        <v>407.66200000000003</v>
      </c>
      <c r="D433" s="92">
        <f t="shared" si="46"/>
        <v>448.42820000000006</v>
      </c>
      <c r="E433" s="92">
        <f t="shared" si="47"/>
        <v>489.19440000000003</v>
      </c>
      <c r="F433" s="92">
        <f t="shared" si="47"/>
        <v>538.1138400000001</v>
      </c>
      <c r="G433" s="92">
        <f t="shared" si="47"/>
        <v>587.03327999999999</v>
      </c>
      <c r="H433" s="124">
        <f t="shared" si="42"/>
        <v>815.32400000000007</v>
      </c>
      <c r="I433" s="124">
        <f t="shared" si="43"/>
        <v>896.85640000000012</v>
      </c>
      <c r="J433" s="125">
        <f t="shared" si="44"/>
        <v>1222.9860000000001</v>
      </c>
    </row>
    <row r="434" spans="1:10" ht="14.95" customHeight="1">
      <c r="A434" s="10" t="s">
        <v>1629</v>
      </c>
      <c r="B434" s="92">
        <f t="shared" si="45"/>
        <v>383.2758</v>
      </c>
      <c r="C434" s="92">
        <f>('Цены на металл '!AA433*'Цены на металл '!$B$4*1.4)+'Цены на металл '!AB433</f>
        <v>425.86199999999997</v>
      </c>
      <c r="D434" s="92">
        <f t="shared" si="46"/>
        <v>468.44819999999999</v>
      </c>
      <c r="E434" s="92">
        <f t="shared" si="47"/>
        <v>511.03439999999995</v>
      </c>
      <c r="F434" s="92">
        <f t="shared" si="47"/>
        <v>562.13783999999998</v>
      </c>
      <c r="G434" s="92">
        <f t="shared" si="47"/>
        <v>613.24127999999996</v>
      </c>
      <c r="H434" s="124">
        <f t="shared" si="42"/>
        <v>851.72399999999993</v>
      </c>
      <c r="I434" s="124">
        <f t="shared" si="43"/>
        <v>936.89639999999997</v>
      </c>
      <c r="J434" s="125">
        <f t="shared" si="44"/>
        <v>1277.5859999999998</v>
      </c>
    </row>
    <row r="435" spans="1:10" ht="14.95" customHeight="1">
      <c r="A435" s="10" t="s">
        <v>1630</v>
      </c>
      <c r="B435" s="92">
        <f t="shared" si="45"/>
        <v>344.45519999999999</v>
      </c>
      <c r="C435" s="92">
        <f>('Цены на металл '!AA434*'Цены на металл '!$B$4*1.4)+'Цены на металл '!AB434</f>
        <v>382.72800000000001</v>
      </c>
      <c r="D435" s="92">
        <f t="shared" si="46"/>
        <v>421.00080000000003</v>
      </c>
      <c r="E435" s="92">
        <f t="shared" si="47"/>
        <v>459.27359999999999</v>
      </c>
      <c r="F435" s="92">
        <f t="shared" si="47"/>
        <v>505.20096000000001</v>
      </c>
      <c r="G435" s="92">
        <f t="shared" si="47"/>
        <v>551.12831999999992</v>
      </c>
      <c r="H435" s="124">
        <f t="shared" si="42"/>
        <v>765.45600000000002</v>
      </c>
      <c r="I435" s="124">
        <f t="shared" si="43"/>
        <v>842.00160000000005</v>
      </c>
      <c r="J435" s="125">
        <f t="shared" si="44"/>
        <v>1148.184</v>
      </c>
    </row>
    <row r="436" spans="1:10" ht="14.95" customHeight="1">
      <c r="A436" s="10" t="s">
        <v>1631</v>
      </c>
      <c r="B436" s="92">
        <f t="shared" si="45"/>
        <v>352.64519999999999</v>
      </c>
      <c r="C436" s="92">
        <f>('Цены на металл '!AA435*'Цены на металл '!$B$4*1.4)+'Цены на металл '!AB435</f>
        <v>391.82799999999997</v>
      </c>
      <c r="D436" s="92">
        <f t="shared" si="46"/>
        <v>431.01080000000002</v>
      </c>
      <c r="E436" s="92">
        <f t="shared" si="47"/>
        <v>470.19359999999995</v>
      </c>
      <c r="F436" s="92">
        <f t="shared" si="47"/>
        <v>517.21295999999995</v>
      </c>
      <c r="G436" s="92">
        <f t="shared" si="47"/>
        <v>564.23231999999996</v>
      </c>
      <c r="H436" s="124">
        <f t="shared" si="42"/>
        <v>783.65599999999995</v>
      </c>
      <c r="I436" s="124">
        <f t="shared" si="43"/>
        <v>862.02160000000003</v>
      </c>
      <c r="J436" s="125">
        <f t="shared" si="44"/>
        <v>1175.4839999999999</v>
      </c>
    </row>
    <row r="437" spans="1:10" ht="14.95" customHeight="1">
      <c r="A437" s="10" t="s">
        <v>1632</v>
      </c>
      <c r="B437" s="92">
        <f t="shared" si="45"/>
        <v>355.75739999999996</v>
      </c>
      <c r="C437" s="92">
        <f>('Цены на металл '!AA436*'Цены на металл '!$B$4*1.4)+'Цены на металл '!AB436</f>
        <v>395.28599999999994</v>
      </c>
      <c r="D437" s="92">
        <f t="shared" si="46"/>
        <v>434.81459999999998</v>
      </c>
      <c r="E437" s="92">
        <f t="shared" si="47"/>
        <v>474.34319999999991</v>
      </c>
      <c r="F437" s="92">
        <f t="shared" si="47"/>
        <v>521.77751999999998</v>
      </c>
      <c r="G437" s="92">
        <f t="shared" si="47"/>
        <v>569.21183999999982</v>
      </c>
      <c r="H437" s="124">
        <f t="shared" si="42"/>
        <v>790.57199999999989</v>
      </c>
      <c r="I437" s="124">
        <f t="shared" si="43"/>
        <v>869.62919999999997</v>
      </c>
      <c r="J437" s="125">
        <f t="shared" si="44"/>
        <v>1185.8579999999997</v>
      </c>
    </row>
    <row r="438" spans="1:10" ht="14.95" customHeight="1">
      <c r="A438" s="10" t="s">
        <v>1633</v>
      </c>
      <c r="B438" s="92">
        <f t="shared" si="45"/>
        <v>367.46909999999997</v>
      </c>
      <c r="C438" s="92">
        <f>('Цены на металл '!AA437*'Цены на металл '!$B$4*1.4)+'Цены на металл '!AB437</f>
        <v>408.29899999999998</v>
      </c>
      <c r="D438" s="92">
        <f t="shared" si="46"/>
        <v>449.12889999999999</v>
      </c>
      <c r="E438" s="92">
        <f t="shared" si="47"/>
        <v>489.95879999999994</v>
      </c>
      <c r="F438" s="92">
        <f t="shared" si="47"/>
        <v>538.95467999999994</v>
      </c>
      <c r="G438" s="92">
        <f t="shared" si="47"/>
        <v>587.95055999999988</v>
      </c>
      <c r="H438" s="124">
        <f t="shared" ref="H438:H458" si="48">C438*2</f>
        <v>816.59799999999996</v>
      </c>
      <c r="I438" s="124">
        <f t="shared" ref="I438:I458" si="49">D438*2</f>
        <v>898.25779999999997</v>
      </c>
      <c r="J438" s="125">
        <f t="shared" ref="J438:J458" si="50">C438*3</f>
        <v>1224.8969999999999</v>
      </c>
    </row>
    <row r="439" spans="1:10" ht="14.95" customHeight="1">
      <c r="A439" s="10" t="s">
        <v>1634</v>
      </c>
      <c r="B439" s="92">
        <f t="shared" si="45"/>
        <v>383.60340000000002</v>
      </c>
      <c r="C439" s="92">
        <f>('Цены на металл '!AA438*'Цены на металл '!$B$4*1.4)+'Цены на металл '!AB438</f>
        <v>426.226</v>
      </c>
      <c r="D439" s="92">
        <f t="shared" si="46"/>
        <v>468.84860000000003</v>
      </c>
      <c r="E439" s="92">
        <f t="shared" si="47"/>
        <v>511.47119999999995</v>
      </c>
      <c r="F439" s="92">
        <f t="shared" si="47"/>
        <v>562.61832000000004</v>
      </c>
      <c r="G439" s="92">
        <f t="shared" si="47"/>
        <v>613.7654399999999</v>
      </c>
      <c r="H439" s="124">
        <f t="shared" si="48"/>
        <v>852.452</v>
      </c>
      <c r="I439" s="124">
        <f t="shared" si="49"/>
        <v>937.69720000000007</v>
      </c>
      <c r="J439" s="125">
        <f t="shared" si="50"/>
        <v>1278.6779999999999</v>
      </c>
    </row>
    <row r="440" spans="1:10" ht="14.95" customHeight="1">
      <c r="A440" s="10" t="s">
        <v>1635</v>
      </c>
      <c r="B440" s="92">
        <f t="shared" si="45"/>
        <v>399.98340000000002</v>
      </c>
      <c r="C440" s="92">
        <f>('Цены на металл '!AA439*'Цены на металл '!$B$4*1.4)+'Цены на металл '!AB439</f>
        <v>444.42599999999999</v>
      </c>
      <c r="D440" s="92">
        <f t="shared" si="46"/>
        <v>488.86860000000001</v>
      </c>
      <c r="E440" s="92">
        <f t="shared" si="47"/>
        <v>533.31119999999999</v>
      </c>
      <c r="F440" s="92">
        <f t="shared" si="47"/>
        <v>586.64232000000004</v>
      </c>
      <c r="G440" s="92">
        <f t="shared" si="47"/>
        <v>639.97343999999998</v>
      </c>
      <c r="H440" s="124">
        <f t="shared" si="48"/>
        <v>888.85199999999998</v>
      </c>
      <c r="I440" s="124">
        <f t="shared" si="49"/>
        <v>977.73720000000003</v>
      </c>
      <c r="J440" s="125">
        <f t="shared" si="50"/>
        <v>1333.278</v>
      </c>
    </row>
    <row r="441" spans="1:10" ht="14.95" customHeight="1">
      <c r="A441" s="10" t="s">
        <v>1636</v>
      </c>
      <c r="B441" s="92">
        <f t="shared" si="45"/>
        <v>414.88919999999996</v>
      </c>
      <c r="C441" s="92">
        <f>('Цены на металл '!AA440*'Цены на металл '!$B$4*1.4)+'Цены на металл '!AB440</f>
        <v>460.98799999999994</v>
      </c>
      <c r="D441" s="92">
        <f t="shared" si="46"/>
        <v>507.08679999999998</v>
      </c>
      <c r="E441" s="92">
        <f t="shared" si="47"/>
        <v>553.18559999999991</v>
      </c>
      <c r="F441" s="92">
        <f t="shared" si="47"/>
        <v>608.50415999999996</v>
      </c>
      <c r="G441" s="92">
        <f t="shared" si="47"/>
        <v>663.82271999999989</v>
      </c>
      <c r="H441" s="124">
        <f t="shared" si="48"/>
        <v>921.97599999999989</v>
      </c>
      <c r="I441" s="124">
        <f t="shared" si="49"/>
        <v>1014.1736</v>
      </c>
      <c r="J441" s="125">
        <f t="shared" si="50"/>
        <v>1382.9639999999999</v>
      </c>
    </row>
    <row r="442" spans="1:10" ht="14.95" customHeight="1">
      <c r="A442" s="10" t="s">
        <v>1637</v>
      </c>
      <c r="B442" s="92">
        <f t="shared" si="45"/>
        <v>360.83519999999999</v>
      </c>
      <c r="C442" s="92">
        <f>('Цены на металл '!AA441*'Цены на металл '!$B$4*1.4)+'Цены на металл '!AB441</f>
        <v>400.928</v>
      </c>
      <c r="D442" s="92">
        <f t="shared" si="46"/>
        <v>441.02080000000001</v>
      </c>
      <c r="E442" s="92">
        <f t="shared" si="47"/>
        <v>481.11359999999996</v>
      </c>
      <c r="F442" s="92">
        <f t="shared" si="47"/>
        <v>529.22496000000001</v>
      </c>
      <c r="G442" s="92">
        <f t="shared" si="47"/>
        <v>577.33631999999989</v>
      </c>
      <c r="H442" s="124">
        <f t="shared" si="48"/>
        <v>801.85599999999999</v>
      </c>
      <c r="I442" s="124">
        <f t="shared" si="49"/>
        <v>882.04160000000002</v>
      </c>
      <c r="J442" s="125">
        <f t="shared" si="50"/>
        <v>1202.7840000000001</v>
      </c>
    </row>
    <row r="443" spans="1:10" ht="14.95" customHeight="1">
      <c r="A443" s="10" t="s">
        <v>1638</v>
      </c>
      <c r="B443" s="92">
        <f t="shared" si="45"/>
        <v>352.64519999999999</v>
      </c>
      <c r="C443" s="92">
        <f>('Цены на металл '!AA442*'Цены на металл '!$B$4*1.4)+'Цены на металл '!AB442</f>
        <v>391.82799999999997</v>
      </c>
      <c r="D443" s="92">
        <f t="shared" si="46"/>
        <v>431.01080000000002</v>
      </c>
      <c r="E443" s="92">
        <f t="shared" si="47"/>
        <v>470.19359999999995</v>
      </c>
      <c r="F443" s="92">
        <f t="shared" si="47"/>
        <v>517.21295999999995</v>
      </c>
      <c r="G443" s="92">
        <f t="shared" si="47"/>
        <v>564.23231999999996</v>
      </c>
      <c r="H443" s="124">
        <f t="shared" si="48"/>
        <v>783.65599999999995</v>
      </c>
      <c r="I443" s="124">
        <f t="shared" si="49"/>
        <v>862.02160000000003</v>
      </c>
      <c r="J443" s="125">
        <f t="shared" si="50"/>
        <v>1175.4839999999999</v>
      </c>
    </row>
    <row r="444" spans="1:10" ht="14.95" customHeight="1">
      <c r="A444" s="10" t="s">
        <v>1639</v>
      </c>
      <c r="B444" s="92">
        <f t="shared" si="45"/>
        <v>360.83519999999999</v>
      </c>
      <c r="C444" s="92">
        <f>('Цены на металл '!AA443*'Цены на металл '!$B$4*1.4)+'Цены на металл '!AB443</f>
        <v>400.928</v>
      </c>
      <c r="D444" s="92">
        <f t="shared" si="46"/>
        <v>441.02080000000001</v>
      </c>
      <c r="E444" s="92">
        <f t="shared" si="47"/>
        <v>481.11359999999996</v>
      </c>
      <c r="F444" s="92">
        <f t="shared" si="47"/>
        <v>529.22496000000001</v>
      </c>
      <c r="G444" s="92">
        <f t="shared" si="47"/>
        <v>577.33631999999989</v>
      </c>
      <c r="H444" s="124">
        <f t="shared" si="48"/>
        <v>801.85599999999999</v>
      </c>
      <c r="I444" s="124">
        <f t="shared" si="49"/>
        <v>882.04160000000002</v>
      </c>
      <c r="J444" s="125">
        <f t="shared" si="50"/>
        <v>1202.7840000000001</v>
      </c>
    </row>
    <row r="445" spans="1:10" ht="14.95" customHeight="1">
      <c r="A445" s="10" t="s">
        <v>1640</v>
      </c>
      <c r="B445" s="92">
        <f t="shared" si="45"/>
        <v>377.21519999999992</v>
      </c>
      <c r="C445" s="92">
        <f>('Цены на металл '!AA444*'Цены на металл '!$B$4*1.4)+'Цены на металл '!AB444</f>
        <v>419.12799999999993</v>
      </c>
      <c r="D445" s="92">
        <f t="shared" si="46"/>
        <v>461.04079999999993</v>
      </c>
      <c r="E445" s="92">
        <f t="shared" si="47"/>
        <v>502.95359999999988</v>
      </c>
      <c r="F445" s="92">
        <f t="shared" si="47"/>
        <v>553.2489599999999</v>
      </c>
      <c r="G445" s="92">
        <f t="shared" si="47"/>
        <v>603.54431999999986</v>
      </c>
      <c r="H445" s="124">
        <f t="shared" si="48"/>
        <v>838.25599999999986</v>
      </c>
      <c r="I445" s="124">
        <f t="shared" si="49"/>
        <v>922.08159999999987</v>
      </c>
      <c r="J445" s="125">
        <f t="shared" si="50"/>
        <v>1257.3839999999998</v>
      </c>
    </row>
    <row r="446" spans="1:10" ht="14.95" customHeight="1">
      <c r="A446" s="10" t="s">
        <v>1641</v>
      </c>
      <c r="B446" s="92">
        <f t="shared" si="45"/>
        <v>393.59519999999998</v>
      </c>
      <c r="C446" s="92">
        <f>('Цены на металл '!AA445*'Цены на металл '!$B$4*1.4)+'Цены на металл '!AB445</f>
        <v>437.32799999999997</v>
      </c>
      <c r="D446" s="92">
        <f t="shared" si="46"/>
        <v>481.06080000000003</v>
      </c>
      <c r="E446" s="92">
        <f t="shared" si="47"/>
        <v>524.79359999999997</v>
      </c>
      <c r="F446" s="92">
        <f t="shared" si="47"/>
        <v>577.27296000000001</v>
      </c>
      <c r="G446" s="92">
        <f t="shared" si="47"/>
        <v>629.75231999999994</v>
      </c>
      <c r="H446" s="124">
        <f t="shared" si="48"/>
        <v>874.65599999999995</v>
      </c>
      <c r="I446" s="124">
        <f t="shared" si="49"/>
        <v>962.12160000000006</v>
      </c>
      <c r="J446" s="125">
        <f t="shared" si="50"/>
        <v>1311.9839999999999</v>
      </c>
    </row>
    <row r="447" spans="1:10" ht="14.95" customHeight="1">
      <c r="A447" s="10" t="s">
        <v>1642</v>
      </c>
      <c r="B447" s="92">
        <f t="shared" si="45"/>
        <v>409.97519999999997</v>
      </c>
      <c r="C447" s="92">
        <f>('Цены на металл '!AA446*'Цены на металл '!$B$4*1.4)+'Цены на металл '!AB446</f>
        <v>455.52799999999996</v>
      </c>
      <c r="D447" s="92">
        <f t="shared" si="46"/>
        <v>501.08080000000001</v>
      </c>
      <c r="E447" s="92">
        <f t="shared" si="47"/>
        <v>546.63359999999989</v>
      </c>
      <c r="F447" s="92">
        <f t="shared" si="47"/>
        <v>601.29696000000001</v>
      </c>
      <c r="G447" s="92">
        <f t="shared" si="47"/>
        <v>655.9603199999998</v>
      </c>
      <c r="H447" s="124">
        <f t="shared" si="48"/>
        <v>911.05599999999993</v>
      </c>
      <c r="I447" s="124">
        <f t="shared" si="49"/>
        <v>1002.1616</v>
      </c>
      <c r="J447" s="125">
        <f t="shared" si="50"/>
        <v>1366.5839999999998</v>
      </c>
    </row>
    <row r="448" spans="1:10" ht="14.95" customHeight="1">
      <c r="A448" s="10" t="s">
        <v>1643</v>
      </c>
      <c r="B448" s="92">
        <f t="shared" si="45"/>
        <v>432.90719999999999</v>
      </c>
      <c r="C448" s="92">
        <f>('Цены на металл '!AA447*'Цены на металл '!$B$4*1.4)+'Цены на металл '!AB447</f>
        <v>481.00799999999998</v>
      </c>
      <c r="D448" s="92">
        <f t="shared" si="46"/>
        <v>529.10879999999997</v>
      </c>
      <c r="E448" s="92">
        <f t="shared" si="47"/>
        <v>577.20959999999991</v>
      </c>
      <c r="F448" s="92">
        <f t="shared" si="47"/>
        <v>634.9305599999999</v>
      </c>
      <c r="G448" s="92">
        <f t="shared" si="47"/>
        <v>692.65151999999989</v>
      </c>
      <c r="H448" s="124">
        <f t="shared" si="48"/>
        <v>962.01599999999996</v>
      </c>
      <c r="I448" s="124">
        <f t="shared" si="49"/>
        <v>1058.2175999999999</v>
      </c>
      <c r="J448" s="125">
        <f t="shared" si="50"/>
        <v>1443.0239999999999</v>
      </c>
    </row>
    <row r="449" spans="1:10" ht="14.95" customHeight="1">
      <c r="A449" s="9" t="s">
        <v>1708</v>
      </c>
      <c r="B449" s="92">
        <f t="shared" si="45"/>
        <v>0</v>
      </c>
      <c r="C449" s="92">
        <f>('Цены на металл '!AA448*'Цены на металл '!$B$4*1.4)+'Цены на металл '!AB448</f>
        <v>0</v>
      </c>
      <c r="D449" s="92">
        <f t="shared" si="46"/>
        <v>0</v>
      </c>
      <c r="E449" s="92">
        <f t="shared" si="47"/>
        <v>0</v>
      </c>
      <c r="F449" s="92">
        <f t="shared" si="47"/>
        <v>0</v>
      </c>
      <c r="G449" s="92">
        <f t="shared" si="47"/>
        <v>0</v>
      </c>
      <c r="H449" s="124">
        <f t="shared" si="48"/>
        <v>0</v>
      </c>
      <c r="I449" s="124">
        <f t="shared" si="49"/>
        <v>0</v>
      </c>
      <c r="J449" s="125">
        <f t="shared" si="50"/>
        <v>0</v>
      </c>
    </row>
    <row r="450" spans="1:10" ht="14.95" customHeight="1">
      <c r="A450" s="10" t="s">
        <v>1645</v>
      </c>
      <c r="B450" s="92">
        <f t="shared" si="45"/>
        <v>65.302199999999999</v>
      </c>
      <c r="C450" s="92">
        <f>('Цены на металл '!AA449*'Цены на металл '!$B$4*1.4)+'Цены на металл '!AB449</f>
        <v>72.557999999999993</v>
      </c>
      <c r="D450" s="92">
        <f t="shared" si="46"/>
        <v>79.813800000000001</v>
      </c>
      <c r="E450" s="92">
        <f t="shared" si="47"/>
        <v>87.069599999999994</v>
      </c>
      <c r="F450" s="92">
        <f t="shared" si="47"/>
        <v>95.776560000000003</v>
      </c>
      <c r="G450" s="92">
        <f t="shared" si="47"/>
        <v>104.48351999999998</v>
      </c>
      <c r="H450" s="124">
        <f t="shared" si="48"/>
        <v>145.11599999999999</v>
      </c>
      <c r="I450" s="124">
        <f t="shared" si="49"/>
        <v>159.6276</v>
      </c>
      <c r="J450" s="125">
        <f t="shared" si="50"/>
        <v>217.67399999999998</v>
      </c>
    </row>
    <row r="451" spans="1:10" ht="14.95" customHeight="1">
      <c r="A451" s="10" t="s">
        <v>1646</v>
      </c>
      <c r="B451" s="92">
        <f t="shared" si="45"/>
        <v>68.742000000000004</v>
      </c>
      <c r="C451" s="92">
        <f>('Цены на металл '!AA450*'Цены на металл '!$B$4*1.4)+'Цены на металл '!AB450</f>
        <v>76.38</v>
      </c>
      <c r="D451" s="92">
        <f t="shared" si="46"/>
        <v>84.018000000000001</v>
      </c>
      <c r="E451" s="92">
        <f t="shared" si="47"/>
        <v>91.655999999999992</v>
      </c>
      <c r="F451" s="92">
        <f t="shared" si="47"/>
        <v>100.8216</v>
      </c>
      <c r="G451" s="92">
        <f t="shared" si="47"/>
        <v>109.98719999999999</v>
      </c>
      <c r="H451" s="124">
        <f t="shared" si="48"/>
        <v>152.76</v>
      </c>
      <c r="I451" s="124">
        <f t="shared" si="49"/>
        <v>168.036</v>
      </c>
      <c r="J451" s="125">
        <f t="shared" si="50"/>
        <v>229.14</v>
      </c>
    </row>
    <row r="452" spans="1:10" ht="14.95" customHeight="1">
      <c r="A452" s="10" t="s">
        <v>1647</v>
      </c>
      <c r="B452" s="92">
        <f t="shared" si="45"/>
        <v>73.737899999999996</v>
      </c>
      <c r="C452" s="92">
        <f>('Цены на металл '!AA451*'Цены на металл '!$B$4*1.4)+'Цены на металл '!AB451</f>
        <v>81.930999999999997</v>
      </c>
      <c r="D452" s="92">
        <f t="shared" si="46"/>
        <v>90.124099999999999</v>
      </c>
      <c r="E452" s="92">
        <f t="shared" si="47"/>
        <v>98.3172</v>
      </c>
      <c r="F452" s="92">
        <f t="shared" si="47"/>
        <v>108.14891999999999</v>
      </c>
      <c r="G452" s="92">
        <f t="shared" si="47"/>
        <v>117.98063999999999</v>
      </c>
      <c r="H452" s="124">
        <f t="shared" si="48"/>
        <v>163.86199999999999</v>
      </c>
      <c r="I452" s="124">
        <f t="shared" si="49"/>
        <v>180.2482</v>
      </c>
      <c r="J452" s="125">
        <f t="shared" si="50"/>
        <v>245.79300000000001</v>
      </c>
    </row>
    <row r="453" spans="1:10" ht="14.95" customHeight="1">
      <c r="A453" s="10" t="s">
        <v>1648</v>
      </c>
      <c r="B453" s="92">
        <f t="shared" ref="B453:B516" si="51">C453*0.9</f>
        <v>83.565899999999999</v>
      </c>
      <c r="C453" s="92">
        <f>('Цены на металл '!AA452*'Цены на металл '!$B$4*1.4)+'Цены на металл '!AB452</f>
        <v>92.850999999999999</v>
      </c>
      <c r="D453" s="92">
        <f t="shared" ref="D453:D516" si="52">C453*1.1</f>
        <v>102.13610000000001</v>
      </c>
      <c r="E453" s="92">
        <f t="shared" ref="E453:G516" si="53">C453*1.2</f>
        <v>111.4212</v>
      </c>
      <c r="F453" s="92">
        <f t="shared" si="53"/>
        <v>122.56332</v>
      </c>
      <c r="G453" s="92">
        <f t="shared" si="53"/>
        <v>133.70543999999998</v>
      </c>
      <c r="H453" s="124">
        <f t="shared" si="48"/>
        <v>185.702</v>
      </c>
      <c r="I453" s="124">
        <f t="shared" si="49"/>
        <v>204.27220000000003</v>
      </c>
      <c r="J453" s="125">
        <f t="shared" si="50"/>
        <v>278.553</v>
      </c>
    </row>
    <row r="454" spans="1:10" ht="14.95" customHeight="1">
      <c r="A454" s="10" t="s">
        <v>1649</v>
      </c>
      <c r="B454" s="92">
        <f t="shared" si="51"/>
        <v>97.407000000000011</v>
      </c>
      <c r="C454" s="92">
        <f>('Цены на металл '!AA453*'Цены на металл '!$B$4*1.4)+'Цены на металл '!AB453</f>
        <v>108.23</v>
      </c>
      <c r="D454" s="92">
        <f t="shared" si="52"/>
        <v>119.05300000000001</v>
      </c>
      <c r="E454" s="92">
        <f t="shared" si="53"/>
        <v>129.876</v>
      </c>
      <c r="F454" s="92">
        <f t="shared" si="53"/>
        <v>142.86360000000002</v>
      </c>
      <c r="G454" s="92">
        <f t="shared" si="53"/>
        <v>155.85120000000001</v>
      </c>
      <c r="H454" s="124">
        <f t="shared" si="48"/>
        <v>216.46</v>
      </c>
      <c r="I454" s="124">
        <f t="shared" si="49"/>
        <v>238.10600000000002</v>
      </c>
      <c r="J454" s="125">
        <f t="shared" si="50"/>
        <v>324.69</v>
      </c>
    </row>
    <row r="455" spans="1:10" ht="14.95" customHeight="1">
      <c r="A455" s="10" t="s">
        <v>1650</v>
      </c>
      <c r="B455" s="92">
        <f t="shared" si="51"/>
        <v>111.33</v>
      </c>
      <c r="C455" s="92">
        <f>('Цены на металл '!AA454*'Цены на металл '!$B$4*1.4)+'Цены на металл '!AB454</f>
        <v>123.69999999999999</v>
      </c>
      <c r="D455" s="92">
        <f t="shared" si="52"/>
        <v>136.07</v>
      </c>
      <c r="E455" s="92">
        <f t="shared" si="53"/>
        <v>148.43999999999997</v>
      </c>
      <c r="F455" s="92">
        <f t="shared" si="53"/>
        <v>163.28399999999999</v>
      </c>
      <c r="G455" s="92">
        <f t="shared" si="53"/>
        <v>178.12799999999996</v>
      </c>
      <c r="H455" s="124">
        <f t="shared" si="48"/>
        <v>247.39999999999998</v>
      </c>
      <c r="I455" s="124">
        <f t="shared" si="49"/>
        <v>272.14</v>
      </c>
      <c r="J455" s="125">
        <f t="shared" si="50"/>
        <v>371.09999999999997</v>
      </c>
    </row>
    <row r="456" spans="1:10" ht="14.95" customHeight="1">
      <c r="A456" s="10" t="s">
        <v>1651</v>
      </c>
      <c r="B456" s="92">
        <f t="shared" si="51"/>
        <v>126.15389999999999</v>
      </c>
      <c r="C456" s="92">
        <f>('Цены на металл '!AA455*'Цены на металл '!$B$4*1.4)+'Цены на металл '!AB455</f>
        <v>140.17099999999999</v>
      </c>
      <c r="D456" s="92">
        <f t="shared" si="52"/>
        <v>154.18809999999999</v>
      </c>
      <c r="E456" s="92">
        <f t="shared" si="53"/>
        <v>168.20519999999999</v>
      </c>
      <c r="F456" s="92">
        <f t="shared" si="53"/>
        <v>185.02571999999998</v>
      </c>
      <c r="G456" s="92">
        <f t="shared" si="53"/>
        <v>201.84623999999999</v>
      </c>
      <c r="H456" s="124">
        <f t="shared" si="48"/>
        <v>280.34199999999998</v>
      </c>
      <c r="I456" s="124">
        <f t="shared" si="49"/>
        <v>308.37619999999998</v>
      </c>
      <c r="J456" s="125">
        <f t="shared" si="50"/>
        <v>420.51299999999998</v>
      </c>
    </row>
    <row r="457" spans="1:10" ht="14.95" customHeight="1">
      <c r="A457" s="10" t="s">
        <v>1652</v>
      </c>
      <c r="B457" s="92">
        <f t="shared" si="51"/>
        <v>167.92290000000003</v>
      </c>
      <c r="C457" s="92">
        <f>('Цены на металл '!AA456*'Цены на металл '!$B$4*1.4)+'Цены на металл '!AB456</f>
        <v>186.58100000000002</v>
      </c>
      <c r="D457" s="92">
        <f t="shared" si="52"/>
        <v>205.23910000000004</v>
      </c>
      <c r="E457" s="92">
        <f t="shared" si="53"/>
        <v>223.89720000000003</v>
      </c>
      <c r="F457" s="92">
        <f t="shared" si="53"/>
        <v>246.28692000000004</v>
      </c>
      <c r="G457" s="92">
        <f t="shared" si="53"/>
        <v>268.67664000000002</v>
      </c>
      <c r="H457" s="124">
        <f t="shared" si="48"/>
        <v>373.16200000000003</v>
      </c>
      <c r="I457" s="124">
        <f t="shared" si="49"/>
        <v>410.47820000000007</v>
      </c>
      <c r="J457" s="125">
        <f t="shared" si="50"/>
        <v>559.74300000000005</v>
      </c>
    </row>
    <row r="458" spans="1:10" ht="14.95" customHeight="1">
      <c r="A458" s="10" t="s">
        <v>1653</v>
      </c>
      <c r="B458" s="92">
        <f t="shared" si="51"/>
        <v>215.7525</v>
      </c>
      <c r="C458" s="92">
        <f>('Цены на металл '!AA457*'Цены на металл '!$B$4*1.4)+'Цены на металл '!AB457</f>
        <v>239.72499999999999</v>
      </c>
      <c r="D458" s="92">
        <f t="shared" si="52"/>
        <v>263.69749999999999</v>
      </c>
      <c r="E458" s="92">
        <f t="shared" si="53"/>
        <v>287.66999999999996</v>
      </c>
      <c r="F458" s="92">
        <f t="shared" si="53"/>
        <v>316.43699999999995</v>
      </c>
      <c r="G458" s="92">
        <f t="shared" si="53"/>
        <v>345.20399999999995</v>
      </c>
      <c r="H458" s="124">
        <f t="shared" si="48"/>
        <v>479.45</v>
      </c>
      <c r="I458" s="124">
        <f t="shared" si="49"/>
        <v>527.39499999999998</v>
      </c>
      <c r="J458" s="125">
        <f t="shared" si="50"/>
        <v>719.17499999999995</v>
      </c>
    </row>
    <row r="459" spans="1:10" ht="14.95" customHeight="1">
      <c r="A459" s="9" t="s">
        <v>1707</v>
      </c>
      <c r="B459" s="92"/>
      <c r="C459" s="92"/>
      <c r="D459" s="92"/>
      <c r="E459" s="92"/>
      <c r="F459" s="92"/>
      <c r="G459" s="92"/>
      <c r="H459" s="124"/>
      <c r="I459" s="124"/>
      <c r="J459" s="125"/>
    </row>
    <row r="460" spans="1:10" ht="14.95" customHeight="1">
      <c r="A460" s="7" t="s">
        <v>1705</v>
      </c>
      <c r="B460" s="92">
        <f t="shared" si="51"/>
        <v>131.50530000000001</v>
      </c>
      <c r="C460" s="92">
        <f>('Цены на металл '!AA459*'Цены на металл '!$B$4*1.4)+'Цены на металл '!AB459</f>
        <v>146.11699999999999</v>
      </c>
      <c r="D460" s="92">
        <f t="shared" si="52"/>
        <v>160.7287</v>
      </c>
      <c r="E460" s="92">
        <f t="shared" si="53"/>
        <v>175.34039999999999</v>
      </c>
      <c r="F460" s="92">
        <f t="shared" si="53"/>
        <v>192.87443999999999</v>
      </c>
      <c r="G460" s="92">
        <f t="shared" si="53"/>
        <v>210.40847999999997</v>
      </c>
      <c r="H460" s="124">
        <f t="shared" ref="H460:H491" si="54">C460*2</f>
        <v>292.23399999999998</v>
      </c>
      <c r="I460" s="124">
        <f t="shared" ref="I460:I491" si="55">D460*2</f>
        <v>321.45740000000001</v>
      </c>
      <c r="J460" s="125">
        <f t="shared" ref="J460:J491" si="56">C460*3</f>
        <v>438.351</v>
      </c>
    </row>
    <row r="461" spans="1:10" ht="14.95" customHeight="1">
      <c r="A461" s="7" t="s">
        <v>1654</v>
      </c>
      <c r="B461" s="92">
        <f t="shared" si="51"/>
        <v>128.80260000000001</v>
      </c>
      <c r="C461" s="92">
        <f>('Цены на металл '!AA460*'Цены на металл '!$B$4*1.4)+'Цены на металл '!AB460</f>
        <v>143.114</v>
      </c>
      <c r="D461" s="92">
        <f t="shared" si="52"/>
        <v>157.42540000000002</v>
      </c>
      <c r="E461" s="92">
        <f t="shared" si="53"/>
        <v>171.73679999999999</v>
      </c>
      <c r="F461" s="92">
        <f t="shared" si="53"/>
        <v>188.91048000000004</v>
      </c>
      <c r="G461" s="92">
        <f t="shared" si="53"/>
        <v>206.08415999999997</v>
      </c>
      <c r="H461" s="124">
        <f t="shared" si="54"/>
        <v>286.22800000000001</v>
      </c>
      <c r="I461" s="124">
        <f t="shared" si="55"/>
        <v>314.85080000000005</v>
      </c>
      <c r="J461" s="125">
        <f t="shared" si="56"/>
        <v>429.34199999999998</v>
      </c>
    </row>
    <row r="462" spans="1:10" ht="14.95" customHeight="1">
      <c r="A462" s="7" t="s">
        <v>1655</v>
      </c>
      <c r="B462" s="92">
        <f t="shared" si="51"/>
        <v>133.63470000000001</v>
      </c>
      <c r="C462" s="92">
        <f>('Цены на металл '!AA461*'Цены на металл '!$B$4*1.4)+'Цены на металл '!AB461</f>
        <v>148.483</v>
      </c>
      <c r="D462" s="92">
        <f t="shared" si="52"/>
        <v>163.33130000000003</v>
      </c>
      <c r="E462" s="92">
        <f t="shared" si="53"/>
        <v>178.17959999999999</v>
      </c>
      <c r="F462" s="92">
        <f t="shared" si="53"/>
        <v>195.99756000000002</v>
      </c>
      <c r="G462" s="92">
        <f t="shared" si="53"/>
        <v>213.81551999999999</v>
      </c>
      <c r="H462" s="124">
        <f t="shared" si="54"/>
        <v>296.96600000000001</v>
      </c>
      <c r="I462" s="124">
        <f t="shared" si="55"/>
        <v>326.66260000000005</v>
      </c>
      <c r="J462" s="125">
        <f t="shared" si="56"/>
        <v>445.44900000000001</v>
      </c>
    </row>
    <row r="463" spans="1:10" ht="14.95" customHeight="1">
      <c r="A463" s="7" t="s">
        <v>1656</v>
      </c>
      <c r="B463" s="92">
        <f t="shared" si="51"/>
        <v>133.06140000000002</v>
      </c>
      <c r="C463" s="92">
        <f>('Цены на металл '!AA462*'Цены на металл '!$B$4*1.4)+'Цены на металл '!AB462</f>
        <v>147.846</v>
      </c>
      <c r="D463" s="92">
        <f t="shared" si="52"/>
        <v>162.63060000000002</v>
      </c>
      <c r="E463" s="92">
        <f t="shared" si="53"/>
        <v>177.4152</v>
      </c>
      <c r="F463" s="92">
        <f t="shared" si="53"/>
        <v>195.15672000000001</v>
      </c>
      <c r="G463" s="92">
        <f t="shared" si="53"/>
        <v>212.89823999999999</v>
      </c>
      <c r="H463" s="124">
        <f t="shared" si="54"/>
        <v>295.69200000000001</v>
      </c>
      <c r="I463" s="124">
        <f t="shared" si="55"/>
        <v>325.26120000000003</v>
      </c>
      <c r="J463" s="125">
        <f t="shared" si="56"/>
        <v>443.53800000000001</v>
      </c>
    </row>
    <row r="464" spans="1:10" ht="14.95" customHeight="1">
      <c r="A464" s="7" t="s">
        <v>1657</v>
      </c>
      <c r="B464" s="92">
        <f t="shared" si="51"/>
        <v>140.59619999999998</v>
      </c>
      <c r="C464" s="92">
        <f>('Цены на металл '!AA463*'Цены на металл '!$B$4*1.4)+'Цены на металл '!AB463</f>
        <v>156.21799999999999</v>
      </c>
      <c r="D464" s="92">
        <f t="shared" si="52"/>
        <v>171.8398</v>
      </c>
      <c r="E464" s="92">
        <f t="shared" si="53"/>
        <v>187.46159999999998</v>
      </c>
      <c r="F464" s="92">
        <f t="shared" si="53"/>
        <v>206.20775999999998</v>
      </c>
      <c r="G464" s="92">
        <f t="shared" si="53"/>
        <v>224.95391999999995</v>
      </c>
      <c r="H464" s="124">
        <f t="shared" si="54"/>
        <v>312.43599999999998</v>
      </c>
      <c r="I464" s="124">
        <f t="shared" si="55"/>
        <v>343.67959999999999</v>
      </c>
      <c r="J464" s="125">
        <f t="shared" si="56"/>
        <v>468.654</v>
      </c>
    </row>
    <row r="465" spans="1:10" ht="14.95" customHeight="1">
      <c r="A465" s="7" t="s">
        <v>1658</v>
      </c>
      <c r="B465" s="92">
        <f t="shared" si="51"/>
        <v>140.84189999999998</v>
      </c>
      <c r="C465" s="92">
        <f>('Цены на металл '!AA464*'Цены на металл '!$B$4*1.4)+'Цены на металл '!AB464</f>
        <v>156.49099999999999</v>
      </c>
      <c r="D465" s="92">
        <f t="shared" si="52"/>
        <v>172.14009999999999</v>
      </c>
      <c r="E465" s="92">
        <f t="shared" si="53"/>
        <v>187.78919999999997</v>
      </c>
      <c r="F465" s="92">
        <f t="shared" si="53"/>
        <v>206.56811999999999</v>
      </c>
      <c r="G465" s="92">
        <f t="shared" si="53"/>
        <v>225.34703999999996</v>
      </c>
      <c r="H465" s="124">
        <f t="shared" si="54"/>
        <v>312.98199999999997</v>
      </c>
      <c r="I465" s="124">
        <f t="shared" si="55"/>
        <v>344.28019999999998</v>
      </c>
      <c r="J465" s="125">
        <f t="shared" si="56"/>
        <v>469.47299999999996</v>
      </c>
    </row>
    <row r="466" spans="1:10" ht="14.95" customHeight="1">
      <c r="A466" s="7" t="s">
        <v>1659</v>
      </c>
      <c r="B466" s="92">
        <f t="shared" si="51"/>
        <v>139.6953</v>
      </c>
      <c r="C466" s="92">
        <f>('Цены на металл '!AA465*'Цены на металл '!$B$4*1.4)+'Цены на металл '!AB465</f>
        <v>155.21699999999998</v>
      </c>
      <c r="D466" s="92">
        <f t="shared" si="52"/>
        <v>170.73869999999999</v>
      </c>
      <c r="E466" s="92">
        <f t="shared" si="53"/>
        <v>186.26039999999998</v>
      </c>
      <c r="F466" s="92">
        <f t="shared" si="53"/>
        <v>204.88643999999999</v>
      </c>
      <c r="G466" s="92">
        <f t="shared" si="53"/>
        <v>223.51247999999995</v>
      </c>
      <c r="H466" s="124">
        <f t="shared" si="54"/>
        <v>310.43399999999997</v>
      </c>
      <c r="I466" s="124">
        <f t="shared" si="55"/>
        <v>341.47739999999999</v>
      </c>
      <c r="J466" s="125">
        <f t="shared" si="56"/>
        <v>465.65099999999995</v>
      </c>
    </row>
    <row r="467" spans="1:10" ht="14.95" customHeight="1">
      <c r="A467" s="7" t="s">
        <v>1660</v>
      </c>
      <c r="B467" s="92">
        <f t="shared" si="51"/>
        <v>149.19569999999999</v>
      </c>
      <c r="C467" s="92">
        <f>('Цены на металл '!AA466*'Цены на металл '!$B$4*1.4)+'Цены на металл '!AB466</f>
        <v>165.773</v>
      </c>
      <c r="D467" s="92">
        <f t="shared" si="52"/>
        <v>182.3503</v>
      </c>
      <c r="E467" s="92">
        <f t="shared" si="53"/>
        <v>198.92759999999998</v>
      </c>
      <c r="F467" s="92">
        <f t="shared" si="53"/>
        <v>218.82035999999999</v>
      </c>
      <c r="G467" s="92">
        <f t="shared" si="53"/>
        <v>238.71311999999998</v>
      </c>
      <c r="H467" s="124">
        <f t="shared" si="54"/>
        <v>331.54599999999999</v>
      </c>
      <c r="I467" s="124">
        <f t="shared" si="55"/>
        <v>364.70060000000001</v>
      </c>
      <c r="J467" s="125">
        <f t="shared" si="56"/>
        <v>497.31899999999996</v>
      </c>
    </row>
    <row r="468" spans="1:10" ht="14.95" customHeight="1">
      <c r="A468" s="7" t="s">
        <v>1661</v>
      </c>
      <c r="B468" s="92">
        <f t="shared" si="51"/>
        <v>148.29480000000001</v>
      </c>
      <c r="C468" s="92">
        <f>('Цены на металл '!AA467*'Цены на металл '!$B$4*1.4)+'Цены на металл '!AB467</f>
        <v>164.77199999999999</v>
      </c>
      <c r="D468" s="92">
        <f t="shared" si="52"/>
        <v>181.2492</v>
      </c>
      <c r="E468" s="92">
        <f t="shared" si="53"/>
        <v>197.72639999999998</v>
      </c>
      <c r="F468" s="92">
        <f t="shared" si="53"/>
        <v>217.49904000000001</v>
      </c>
      <c r="G468" s="92">
        <f t="shared" si="53"/>
        <v>237.27167999999998</v>
      </c>
      <c r="H468" s="124">
        <f t="shared" si="54"/>
        <v>329.54399999999998</v>
      </c>
      <c r="I468" s="124">
        <f t="shared" si="55"/>
        <v>362.4984</v>
      </c>
      <c r="J468" s="125">
        <f t="shared" si="56"/>
        <v>494.31599999999997</v>
      </c>
    </row>
    <row r="469" spans="1:10" ht="14.95" customHeight="1">
      <c r="A469" s="7" t="s">
        <v>1662</v>
      </c>
      <c r="B469" s="92">
        <f t="shared" si="51"/>
        <v>155.33820000000003</v>
      </c>
      <c r="C469" s="92">
        <f>('Цены на металл '!AA468*'Цены на металл '!$B$4*1.4)+'Цены на металл '!AB468</f>
        <v>172.59800000000001</v>
      </c>
      <c r="D469" s="92">
        <f t="shared" si="52"/>
        <v>189.85780000000003</v>
      </c>
      <c r="E469" s="92">
        <f t="shared" si="53"/>
        <v>207.11760000000001</v>
      </c>
      <c r="F469" s="92">
        <f t="shared" si="53"/>
        <v>227.82936000000004</v>
      </c>
      <c r="G469" s="92">
        <f t="shared" si="53"/>
        <v>248.54112000000001</v>
      </c>
      <c r="H469" s="124">
        <f t="shared" si="54"/>
        <v>345.19600000000003</v>
      </c>
      <c r="I469" s="124">
        <f t="shared" si="55"/>
        <v>379.71560000000005</v>
      </c>
      <c r="J469" s="125">
        <f t="shared" si="56"/>
        <v>517.7940000000001</v>
      </c>
    </row>
    <row r="470" spans="1:10" ht="14.95" customHeight="1">
      <c r="A470" s="7" t="s">
        <v>1663</v>
      </c>
      <c r="B470" s="92">
        <f t="shared" si="51"/>
        <v>156.0753</v>
      </c>
      <c r="C470" s="92">
        <f>('Цены на металл '!AA469*'Цены на металл '!$B$4*1.4)+'Цены на металл '!AB469</f>
        <v>173.417</v>
      </c>
      <c r="D470" s="92">
        <f t="shared" si="52"/>
        <v>190.7587</v>
      </c>
      <c r="E470" s="92">
        <f t="shared" si="53"/>
        <v>208.10040000000001</v>
      </c>
      <c r="F470" s="92">
        <f t="shared" si="53"/>
        <v>228.91043999999999</v>
      </c>
      <c r="G470" s="92">
        <f t="shared" si="53"/>
        <v>249.72048000000001</v>
      </c>
      <c r="H470" s="124">
        <f t="shared" si="54"/>
        <v>346.834</v>
      </c>
      <c r="I470" s="124">
        <f t="shared" si="55"/>
        <v>381.51740000000001</v>
      </c>
      <c r="J470" s="125">
        <f t="shared" si="56"/>
        <v>520.25099999999998</v>
      </c>
    </row>
    <row r="471" spans="1:10" ht="14.95" customHeight="1">
      <c r="A471" s="7" t="s">
        <v>1664</v>
      </c>
      <c r="B471" s="92">
        <f t="shared" si="51"/>
        <v>155.33820000000003</v>
      </c>
      <c r="C471" s="92">
        <f>('Цены на металл '!AA470*'Цены на металл '!$B$4*1.4)+'Цены на металл '!AB470</f>
        <v>172.59800000000001</v>
      </c>
      <c r="D471" s="92">
        <f t="shared" si="52"/>
        <v>189.85780000000003</v>
      </c>
      <c r="E471" s="92">
        <f t="shared" si="53"/>
        <v>207.11760000000001</v>
      </c>
      <c r="F471" s="92">
        <f t="shared" si="53"/>
        <v>227.82936000000004</v>
      </c>
      <c r="G471" s="92">
        <f t="shared" si="53"/>
        <v>248.54112000000001</v>
      </c>
      <c r="H471" s="124">
        <f t="shared" si="54"/>
        <v>345.19600000000003</v>
      </c>
      <c r="I471" s="124">
        <f t="shared" si="55"/>
        <v>379.71560000000005</v>
      </c>
      <c r="J471" s="125">
        <f t="shared" si="56"/>
        <v>517.7940000000001</v>
      </c>
    </row>
    <row r="472" spans="1:10" ht="14.95" customHeight="1">
      <c r="A472" s="7" t="s">
        <v>1665</v>
      </c>
      <c r="B472" s="92">
        <f t="shared" si="51"/>
        <v>165.49380000000002</v>
      </c>
      <c r="C472" s="92">
        <f>('Цены на металл '!AA471*'Цены на металл '!$B$4*1.4)+'Цены на металл '!AB471</f>
        <v>183.88200000000001</v>
      </c>
      <c r="D472" s="92">
        <f t="shared" si="52"/>
        <v>202.27020000000002</v>
      </c>
      <c r="E472" s="92">
        <f t="shared" si="53"/>
        <v>220.6584</v>
      </c>
      <c r="F472" s="92">
        <f t="shared" si="53"/>
        <v>242.72424000000001</v>
      </c>
      <c r="G472" s="92">
        <f t="shared" si="53"/>
        <v>264.79007999999999</v>
      </c>
      <c r="H472" s="124">
        <f t="shared" si="54"/>
        <v>367.76400000000001</v>
      </c>
      <c r="I472" s="124">
        <f t="shared" si="55"/>
        <v>404.54040000000003</v>
      </c>
      <c r="J472" s="125">
        <f t="shared" si="56"/>
        <v>551.64599999999996</v>
      </c>
    </row>
    <row r="473" spans="1:10" ht="14.95" customHeight="1">
      <c r="A473" s="7" t="s">
        <v>1666</v>
      </c>
      <c r="B473" s="92">
        <f t="shared" si="51"/>
        <v>173.52</v>
      </c>
      <c r="C473" s="92">
        <f>('Цены на металл '!AA472*'Цены на металл '!$B$4*1.4)+'Цены на металл '!AB472</f>
        <v>192.8</v>
      </c>
      <c r="D473" s="92">
        <f t="shared" si="52"/>
        <v>212.08000000000004</v>
      </c>
      <c r="E473" s="92">
        <f t="shared" si="53"/>
        <v>231.36</v>
      </c>
      <c r="F473" s="92">
        <f t="shared" si="53"/>
        <v>254.49600000000004</v>
      </c>
      <c r="G473" s="92">
        <f t="shared" si="53"/>
        <v>277.63200000000001</v>
      </c>
      <c r="H473" s="124">
        <f t="shared" si="54"/>
        <v>385.6</v>
      </c>
      <c r="I473" s="124">
        <f t="shared" si="55"/>
        <v>424.16000000000008</v>
      </c>
      <c r="J473" s="125">
        <f t="shared" si="56"/>
        <v>578.40000000000009</v>
      </c>
    </row>
    <row r="474" spans="1:10" ht="14.95" customHeight="1">
      <c r="A474" s="7" t="s">
        <v>1667</v>
      </c>
      <c r="B474" s="92">
        <f t="shared" si="51"/>
        <v>134.61750000000001</v>
      </c>
      <c r="C474" s="92">
        <f>('Цены на металл '!AA473*'Цены на металл '!$B$4*1.4)+'Цены на металл '!AB473</f>
        <v>149.57499999999999</v>
      </c>
      <c r="D474" s="92">
        <f t="shared" si="52"/>
        <v>164.5325</v>
      </c>
      <c r="E474" s="92">
        <f t="shared" si="53"/>
        <v>179.48999999999998</v>
      </c>
      <c r="F474" s="92">
        <f t="shared" si="53"/>
        <v>197.43899999999999</v>
      </c>
      <c r="G474" s="92">
        <f t="shared" si="53"/>
        <v>215.38799999999998</v>
      </c>
      <c r="H474" s="124">
        <f t="shared" si="54"/>
        <v>299.14999999999998</v>
      </c>
      <c r="I474" s="124">
        <f t="shared" si="55"/>
        <v>329.065</v>
      </c>
      <c r="J474" s="125">
        <f t="shared" si="56"/>
        <v>448.72499999999997</v>
      </c>
    </row>
    <row r="475" spans="1:10" ht="14.95" customHeight="1">
      <c r="A475" s="7" t="s">
        <v>1668</v>
      </c>
      <c r="B475" s="92">
        <f t="shared" si="51"/>
        <v>138.38489999999999</v>
      </c>
      <c r="C475" s="92">
        <f>('Цены на металл '!AA474*'Цены на металл '!$B$4*1.4)+'Цены на металл '!AB474</f>
        <v>153.761</v>
      </c>
      <c r="D475" s="92">
        <f t="shared" si="52"/>
        <v>169.1371</v>
      </c>
      <c r="E475" s="92">
        <f t="shared" si="53"/>
        <v>184.51319999999998</v>
      </c>
      <c r="F475" s="92">
        <f t="shared" si="53"/>
        <v>202.96451999999999</v>
      </c>
      <c r="G475" s="92">
        <f t="shared" si="53"/>
        <v>221.41583999999997</v>
      </c>
      <c r="H475" s="124">
        <f t="shared" si="54"/>
        <v>307.52199999999999</v>
      </c>
      <c r="I475" s="124">
        <f t="shared" si="55"/>
        <v>338.27420000000001</v>
      </c>
      <c r="J475" s="125">
        <f t="shared" si="56"/>
        <v>461.28300000000002</v>
      </c>
    </row>
    <row r="476" spans="1:10" ht="14.95" customHeight="1">
      <c r="A476" s="7" t="s">
        <v>1669</v>
      </c>
      <c r="B476" s="92">
        <f t="shared" si="51"/>
        <v>138.95820000000001</v>
      </c>
      <c r="C476" s="92">
        <f>('Цены на металл '!AA475*'Цены на металл '!$B$4*1.4)+'Цены на металл '!AB475</f>
        <v>154.398</v>
      </c>
      <c r="D476" s="92">
        <f t="shared" si="52"/>
        <v>169.83780000000002</v>
      </c>
      <c r="E476" s="92">
        <f t="shared" si="53"/>
        <v>185.27759999999998</v>
      </c>
      <c r="F476" s="92">
        <f t="shared" si="53"/>
        <v>203.80536000000001</v>
      </c>
      <c r="G476" s="92">
        <f t="shared" si="53"/>
        <v>222.33311999999998</v>
      </c>
      <c r="H476" s="124">
        <f t="shared" si="54"/>
        <v>308.79599999999999</v>
      </c>
      <c r="I476" s="124">
        <f t="shared" si="55"/>
        <v>339.67560000000003</v>
      </c>
      <c r="J476" s="125">
        <f t="shared" si="56"/>
        <v>463.19399999999996</v>
      </c>
    </row>
    <row r="477" spans="1:10" ht="14.95" customHeight="1">
      <c r="A477" s="7" t="s">
        <v>1670</v>
      </c>
      <c r="B477" s="92">
        <f t="shared" si="51"/>
        <v>147.47579999999999</v>
      </c>
      <c r="C477" s="92">
        <f>('Цены на металл '!AA476*'Цены на металл '!$B$4*1.4)+'Цены на металл '!AB476</f>
        <v>163.86199999999999</v>
      </c>
      <c r="D477" s="92">
        <f t="shared" si="52"/>
        <v>180.2482</v>
      </c>
      <c r="E477" s="92">
        <f t="shared" si="53"/>
        <v>196.6344</v>
      </c>
      <c r="F477" s="92">
        <f t="shared" si="53"/>
        <v>216.29783999999998</v>
      </c>
      <c r="G477" s="92">
        <f t="shared" si="53"/>
        <v>235.96127999999999</v>
      </c>
      <c r="H477" s="124">
        <f t="shared" si="54"/>
        <v>327.72399999999999</v>
      </c>
      <c r="I477" s="124">
        <f t="shared" si="55"/>
        <v>360.49639999999999</v>
      </c>
      <c r="J477" s="125">
        <f t="shared" si="56"/>
        <v>491.58600000000001</v>
      </c>
    </row>
    <row r="478" spans="1:10" ht="14.95" customHeight="1">
      <c r="A478" s="7" t="s">
        <v>1671</v>
      </c>
      <c r="B478" s="92">
        <f t="shared" si="51"/>
        <v>148.95000000000002</v>
      </c>
      <c r="C478" s="92">
        <f>('Цены на металл '!AA477*'Цены на металл '!$B$4*1.4)+'Цены на металл '!AB477</f>
        <v>165.5</v>
      </c>
      <c r="D478" s="92">
        <f t="shared" si="52"/>
        <v>182.05</v>
      </c>
      <c r="E478" s="92">
        <f t="shared" si="53"/>
        <v>198.6</v>
      </c>
      <c r="F478" s="92">
        <f t="shared" si="53"/>
        <v>218.46</v>
      </c>
      <c r="G478" s="92">
        <f t="shared" si="53"/>
        <v>238.32</v>
      </c>
      <c r="H478" s="124">
        <f t="shared" si="54"/>
        <v>331</v>
      </c>
      <c r="I478" s="124">
        <f t="shared" si="55"/>
        <v>364.1</v>
      </c>
      <c r="J478" s="125">
        <f t="shared" si="56"/>
        <v>496.5</v>
      </c>
    </row>
    <row r="479" spans="1:10" ht="14.95" customHeight="1">
      <c r="A479" s="7" t="s">
        <v>1672</v>
      </c>
      <c r="B479" s="92">
        <f t="shared" si="51"/>
        <v>147.06629999999998</v>
      </c>
      <c r="C479" s="92">
        <f>('Цены на металл '!AA478*'Цены на металл '!$B$4*1.4)+'Цены на металл '!AB478</f>
        <v>163.40699999999998</v>
      </c>
      <c r="D479" s="92">
        <f t="shared" si="52"/>
        <v>179.74770000000001</v>
      </c>
      <c r="E479" s="92">
        <f t="shared" si="53"/>
        <v>196.08839999999998</v>
      </c>
      <c r="F479" s="92">
        <f t="shared" si="53"/>
        <v>215.69723999999999</v>
      </c>
      <c r="G479" s="92">
        <f t="shared" si="53"/>
        <v>235.30607999999995</v>
      </c>
      <c r="H479" s="124">
        <f t="shared" si="54"/>
        <v>326.81399999999996</v>
      </c>
      <c r="I479" s="124">
        <f t="shared" si="55"/>
        <v>359.49540000000002</v>
      </c>
      <c r="J479" s="125">
        <f t="shared" si="56"/>
        <v>490.22099999999995</v>
      </c>
    </row>
    <row r="480" spans="1:10" ht="14.95" customHeight="1">
      <c r="A480" s="7" t="s">
        <v>1673</v>
      </c>
      <c r="B480" s="92">
        <f t="shared" si="51"/>
        <v>156.321</v>
      </c>
      <c r="C480" s="92">
        <f>('Цены на металл '!AA479*'Цены на металл '!$B$4*1.4)+'Цены на металл '!AB479</f>
        <v>173.69</v>
      </c>
      <c r="D480" s="92">
        <f t="shared" si="52"/>
        <v>191.05900000000003</v>
      </c>
      <c r="E480" s="92">
        <f t="shared" si="53"/>
        <v>208.428</v>
      </c>
      <c r="F480" s="92">
        <f t="shared" si="53"/>
        <v>229.27080000000004</v>
      </c>
      <c r="G480" s="92">
        <f t="shared" si="53"/>
        <v>250.11359999999999</v>
      </c>
      <c r="H480" s="124">
        <f t="shared" si="54"/>
        <v>347.38</v>
      </c>
      <c r="I480" s="124">
        <f t="shared" si="55"/>
        <v>382.11800000000005</v>
      </c>
      <c r="J480" s="125">
        <f t="shared" si="56"/>
        <v>521.06999999999994</v>
      </c>
    </row>
    <row r="481" spans="1:10" ht="14.95" customHeight="1">
      <c r="A481" s="7" t="s">
        <v>1674</v>
      </c>
      <c r="B481" s="92">
        <f t="shared" si="51"/>
        <v>155.74770000000001</v>
      </c>
      <c r="C481" s="92">
        <f>('Цены на металл '!AA480*'Цены на металл '!$B$4*1.4)+'Цены на металл '!AB480</f>
        <v>173.053</v>
      </c>
      <c r="D481" s="92">
        <f t="shared" si="52"/>
        <v>190.35830000000001</v>
      </c>
      <c r="E481" s="92">
        <f t="shared" si="53"/>
        <v>207.6636</v>
      </c>
      <c r="F481" s="92">
        <f t="shared" si="53"/>
        <v>228.42996000000002</v>
      </c>
      <c r="G481" s="92">
        <f t="shared" si="53"/>
        <v>249.19631999999999</v>
      </c>
      <c r="H481" s="124">
        <f t="shared" si="54"/>
        <v>346.10599999999999</v>
      </c>
      <c r="I481" s="124">
        <f t="shared" si="55"/>
        <v>380.71660000000003</v>
      </c>
      <c r="J481" s="125">
        <f t="shared" si="56"/>
        <v>519.15899999999999</v>
      </c>
    </row>
    <row r="482" spans="1:10" ht="14.95" customHeight="1">
      <c r="A482" s="7" t="s">
        <v>1675</v>
      </c>
      <c r="B482" s="92">
        <f t="shared" si="51"/>
        <v>163.93770000000001</v>
      </c>
      <c r="C482" s="92">
        <f>('Цены на металл '!AA481*'Цены на металл '!$B$4*1.4)+'Цены на металл '!AB481</f>
        <v>182.15299999999999</v>
      </c>
      <c r="D482" s="92">
        <f t="shared" si="52"/>
        <v>200.3683</v>
      </c>
      <c r="E482" s="92">
        <f t="shared" si="53"/>
        <v>218.58359999999999</v>
      </c>
      <c r="F482" s="92">
        <f t="shared" si="53"/>
        <v>240.44195999999999</v>
      </c>
      <c r="G482" s="92">
        <f t="shared" si="53"/>
        <v>262.30032</v>
      </c>
      <c r="H482" s="124">
        <f t="shared" si="54"/>
        <v>364.30599999999998</v>
      </c>
      <c r="I482" s="124">
        <f t="shared" si="55"/>
        <v>400.73660000000001</v>
      </c>
      <c r="J482" s="125">
        <f t="shared" si="56"/>
        <v>546.45899999999995</v>
      </c>
    </row>
    <row r="483" spans="1:10" ht="14.95" customHeight="1">
      <c r="A483" s="7" t="s">
        <v>1676</v>
      </c>
      <c r="B483" s="92">
        <f t="shared" si="51"/>
        <v>172.1277</v>
      </c>
      <c r="C483" s="92">
        <f>('Цены на металл '!AA482*'Цены на металл '!$B$4*1.4)+'Цены на металл '!AB482</f>
        <v>191.25299999999999</v>
      </c>
      <c r="D483" s="92">
        <f t="shared" si="52"/>
        <v>210.3783</v>
      </c>
      <c r="E483" s="92">
        <f t="shared" si="53"/>
        <v>229.50359999999998</v>
      </c>
      <c r="F483" s="92">
        <f t="shared" si="53"/>
        <v>252.45396</v>
      </c>
      <c r="G483" s="92">
        <f t="shared" si="53"/>
        <v>275.40431999999998</v>
      </c>
      <c r="H483" s="124">
        <f t="shared" si="54"/>
        <v>382.50599999999997</v>
      </c>
      <c r="I483" s="124">
        <f t="shared" si="55"/>
        <v>420.75659999999999</v>
      </c>
      <c r="J483" s="125">
        <f t="shared" si="56"/>
        <v>573.75900000000001</v>
      </c>
    </row>
    <row r="484" spans="1:10" ht="14.95" customHeight="1">
      <c r="A484" s="7" t="s">
        <v>1677</v>
      </c>
      <c r="B484" s="92">
        <f t="shared" si="51"/>
        <v>180.3177</v>
      </c>
      <c r="C484" s="92">
        <f>('Цены на металл '!AA483*'Цены на металл '!$B$4*1.4)+'Цены на металл '!AB483</f>
        <v>200.35300000000001</v>
      </c>
      <c r="D484" s="92">
        <f t="shared" si="52"/>
        <v>220.38830000000002</v>
      </c>
      <c r="E484" s="92">
        <f t="shared" si="53"/>
        <v>240.42359999999999</v>
      </c>
      <c r="F484" s="92">
        <f t="shared" si="53"/>
        <v>264.46596</v>
      </c>
      <c r="G484" s="92">
        <f t="shared" si="53"/>
        <v>288.50831999999997</v>
      </c>
      <c r="H484" s="124">
        <f t="shared" si="54"/>
        <v>400.70600000000002</v>
      </c>
      <c r="I484" s="124">
        <f t="shared" si="55"/>
        <v>440.77660000000003</v>
      </c>
      <c r="J484" s="125">
        <f t="shared" si="56"/>
        <v>601.05899999999997</v>
      </c>
    </row>
    <row r="485" spans="1:10" ht="14.95" customHeight="1">
      <c r="A485" s="7" t="s">
        <v>1678</v>
      </c>
      <c r="B485" s="92">
        <f t="shared" si="51"/>
        <v>188.50769999999997</v>
      </c>
      <c r="C485" s="92">
        <f>('Цены на металл '!AA484*'Цены на металл '!$B$4*1.4)+'Цены на металл '!AB484</f>
        <v>209.45299999999997</v>
      </c>
      <c r="D485" s="92">
        <f t="shared" si="52"/>
        <v>230.39829999999998</v>
      </c>
      <c r="E485" s="92">
        <f t="shared" si="53"/>
        <v>251.34359999999995</v>
      </c>
      <c r="F485" s="92">
        <f t="shared" si="53"/>
        <v>276.47795999999994</v>
      </c>
      <c r="G485" s="92">
        <f t="shared" si="53"/>
        <v>301.61231999999995</v>
      </c>
      <c r="H485" s="124">
        <f t="shared" si="54"/>
        <v>418.90599999999995</v>
      </c>
      <c r="I485" s="124">
        <f t="shared" si="55"/>
        <v>460.79659999999996</v>
      </c>
      <c r="J485" s="125">
        <f t="shared" si="56"/>
        <v>628.35899999999992</v>
      </c>
    </row>
    <row r="486" spans="1:10" ht="14.95" customHeight="1">
      <c r="A486" s="7" t="s">
        <v>1679</v>
      </c>
      <c r="B486" s="92">
        <f t="shared" si="51"/>
        <v>196.6977</v>
      </c>
      <c r="C486" s="92">
        <f>('Цены на металл '!AA485*'Цены на металл '!$B$4*1.4)+'Цены на металл '!AB485</f>
        <v>218.553</v>
      </c>
      <c r="D486" s="92">
        <f t="shared" si="52"/>
        <v>240.40830000000003</v>
      </c>
      <c r="E486" s="92">
        <f t="shared" si="53"/>
        <v>262.2636</v>
      </c>
      <c r="F486" s="92">
        <f t="shared" si="53"/>
        <v>288.48996</v>
      </c>
      <c r="G486" s="92">
        <f t="shared" si="53"/>
        <v>314.71632</v>
      </c>
      <c r="H486" s="124">
        <f t="shared" si="54"/>
        <v>437.10599999999999</v>
      </c>
      <c r="I486" s="124">
        <f t="shared" si="55"/>
        <v>480.81660000000005</v>
      </c>
      <c r="J486" s="125">
        <f t="shared" si="56"/>
        <v>655.65899999999999</v>
      </c>
    </row>
    <row r="487" spans="1:10" ht="14.95" customHeight="1">
      <c r="A487" s="7" t="s">
        <v>1680</v>
      </c>
      <c r="B487" s="92">
        <f t="shared" si="51"/>
        <v>139.77719999999999</v>
      </c>
      <c r="C487" s="92">
        <f>('Цены на металл '!AA486*'Цены на металл '!$B$4*1.4)+'Цены на металл '!AB486</f>
        <v>155.30799999999999</v>
      </c>
      <c r="D487" s="92">
        <f t="shared" si="52"/>
        <v>170.83879999999999</v>
      </c>
      <c r="E487" s="92">
        <f t="shared" si="53"/>
        <v>186.36959999999999</v>
      </c>
      <c r="F487" s="92">
        <f t="shared" si="53"/>
        <v>205.00655999999998</v>
      </c>
      <c r="G487" s="92">
        <f t="shared" si="53"/>
        <v>223.64352</v>
      </c>
      <c r="H487" s="124">
        <f t="shared" si="54"/>
        <v>310.61599999999999</v>
      </c>
      <c r="I487" s="124">
        <f t="shared" si="55"/>
        <v>341.67759999999998</v>
      </c>
      <c r="J487" s="125">
        <f t="shared" si="56"/>
        <v>465.92399999999998</v>
      </c>
    </row>
    <row r="488" spans="1:10" ht="14.95" customHeight="1">
      <c r="A488" s="7" t="s">
        <v>1681</v>
      </c>
      <c r="B488" s="92">
        <f t="shared" si="51"/>
        <v>142.88939999999999</v>
      </c>
      <c r="C488" s="92">
        <f>('Цены на металл '!AA487*'Цены на металл '!$B$4*1.4)+'Цены на металл '!AB487</f>
        <v>158.76599999999999</v>
      </c>
      <c r="D488" s="92">
        <f t="shared" si="52"/>
        <v>174.64260000000002</v>
      </c>
      <c r="E488" s="92">
        <f t="shared" si="53"/>
        <v>190.51919999999998</v>
      </c>
      <c r="F488" s="92">
        <f t="shared" si="53"/>
        <v>209.57112000000001</v>
      </c>
      <c r="G488" s="92">
        <f t="shared" si="53"/>
        <v>228.62303999999997</v>
      </c>
      <c r="H488" s="124">
        <f t="shared" si="54"/>
        <v>317.53199999999998</v>
      </c>
      <c r="I488" s="124">
        <f t="shared" si="55"/>
        <v>349.28520000000003</v>
      </c>
      <c r="J488" s="125">
        <f t="shared" si="56"/>
        <v>476.298</v>
      </c>
    </row>
    <row r="489" spans="1:10" ht="14.95" customHeight="1">
      <c r="A489" s="7" t="s">
        <v>1682</v>
      </c>
      <c r="B489" s="92">
        <f t="shared" si="51"/>
        <v>147.47579999999999</v>
      </c>
      <c r="C489" s="92">
        <f>('Цены на металл '!AA488*'Цены на металл '!$B$4*1.4)+'Цены на металл '!AB488</f>
        <v>163.86199999999999</v>
      </c>
      <c r="D489" s="92">
        <f t="shared" si="52"/>
        <v>180.2482</v>
      </c>
      <c r="E489" s="92">
        <f t="shared" si="53"/>
        <v>196.6344</v>
      </c>
      <c r="F489" s="92">
        <f t="shared" si="53"/>
        <v>216.29783999999998</v>
      </c>
      <c r="G489" s="92">
        <f t="shared" si="53"/>
        <v>235.96127999999999</v>
      </c>
      <c r="H489" s="124">
        <f t="shared" si="54"/>
        <v>327.72399999999999</v>
      </c>
      <c r="I489" s="124">
        <f t="shared" si="55"/>
        <v>360.49639999999999</v>
      </c>
      <c r="J489" s="125">
        <f t="shared" si="56"/>
        <v>491.58600000000001</v>
      </c>
    </row>
    <row r="490" spans="1:10" ht="14.95" customHeight="1">
      <c r="A490" s="7" t="s">
        <v>1683</v>
      </c>
      <c r="B490" s="92">
        <f t="shared" si="51"/>
        <v>152.79929999999999</v>
      </c>
      <c r="C490" s="92">
        <f>('Цены на металл '!AA489*'Цены на металл '!$B$4*1.4)+'Цены на металл '!AB489</f>
        <v>169.77699999999999</v>
      </c>
      <c r="D490" s="92">
        <f t="shared" si="52"/>
        <v>186.75470000000001</v>
      </c>
      <c r="E490" s="92">
        <f t="shared" si="53"/>
        <v>203.73239999999998</v>
      </c>
      <c r="F490" s="92">
        <f t="shared" si="53"/>
        <v>224.10564000000002</v>
      </c>
      <c r="G490" s="92">
        <f t="shared" si="53"/>
        <v>244.47887999999998</v>
      </c>
      <c r="H490" s="124">
        <f t="shared" si="54"/>
        <v>339.55399999999997</v>
      </c>
      <c r="I490" s="124">
        <f t="shared" si="55"/>
        <v>373.50940000000003</v>
      </c>
      <c r="J490" s="125">
        <f t="shared" si="56"/>
        <v>509.33099999999996</v>
      </c>
    </row>
    <row r="491" spans="1:10" ht="14.95" customHeight="1">
      <c r="A491" s="7" t="s">
        <v>1684</v>
      </c>
      <c r="B491" s="92">
        <f t="shared" si="51"/>
        <v>153.04500000000002</v>
      </c>
      <c r="C491" s="92">
        <f>('Цены на металл '!AA490*'Цены на металл '!$B$4*1.4)+'Цены на металл '!AB490</f>
        <v>170.05</v>
      </c>
      <c r="D491" s="92">
        <f t="shared" si="52"/>
        <v>187.05500000000004</v>
      </c>
      <c r="E491" s="92">
        <f t="shared" si="53"/>
        <v>204.06</v>
      </c>
      <c r="F491" s="92">
        <f t="shared" si="53"/>
        <v>224.46600000000004</v>
      </c>
      <c r="G491" s="92">
        <f t="shared" si="53"/>
        <v>244.87199999999999</v>
      </c>
      <c r="H491" s="124">
        <f t="shared" si="54"/>
        <v>340.1</v>
      </c>
      <c r="I491" s="124">
        <f t="shared" si="55"/>
        <v>374.11000000000007</v>
      </c>
      <c r="J491" s="125">
        <f t="shared" si="56"/>
        <v>510.15000000000003</v>
      </c>
    </row>
    <row r="492" spans="1:10" ht="14.95" customHeight="1">
      <c r="A492" s="7" t="s">
        <v>1685</v>
      </c>
      <c r="B492" s="92">
        <f t="shared" si="51"/>
        <v>151.9803</v>
      </c>
      <c r="C492" s="92">
        <f>('Цены на металл '!AA491*'Цены на металл '!$B$4*1.4)+'Цены на металл '!AB491</f>
        <v>168.86699999999999</v>
      </c>
      <c r="D492" s="92">
        <f t="shared" si="52"/>
        <v>185.75370000000001</v>
      </c>
      <c r="E492" s="92">
        <f t="shared" si="53"/>
        <v>202.64039999999997</v>
      </c>
      <c r="F492" s="92">
        <f t="shared" si="53"/>
        <v>222.90443999999999</v>
      </c>
      <c r="G492" s="92">
        <f t="shared" si="53"/>
        <v>243.16847999999996</v>
      </c>
      <c r="H492" s="124">
        <f t="shared" ref="H492:H523" si="57">C492*2</f>
        <v>337.73399999999998</v>
      </c>
      <c r="I492" s="124">
        <f t="shared" ref="I492:I523" si="58">D492*2</f>
        <v>371.50740000000002</v>
      </c>
      <c r="J492" s="125">
        <f t="shared" ref="J492:J523" si="59">C492*3</f>
        <v>506.601</v>
      </c>
    </row>
    <row r="493" spans="1:10" ht="14.95" customHeight="1">
      <c r="A493" s="7" t="s">
        <v>1686</v>
      </c>
      <c r="B493" s="92">
        <f t="shared" si="51"/>
        <v>163.44630000000001</v>
      </c>
      <c r="C493" s="92">
        <f>('Цены на металл '!AA492*'Цены на металл '!$B$4*1.4)+'Цены на металл '!AB492</f>
        <v>181.607</v>
      </c>
      <c r="D493" s="92">
        <f t="shared" si="52"/>
        <v>199.76770000000002</v>
      </c>
      <c r="E493" s="92">
        <f t="shared" si="53"/>
        <v>217.92839999999998</v>
      </c>
      <c r="F493" s="92">
        <f t="shared" si="53"/>
        <v>239.72124000000002</v>
      </c>
      <c r="G493" s="92">
        <f t="shared" si="53"/>
        <v>261.51407999999998</v>
      </c>
      <c r="H493" s="124">
        <f t="shared" si="57"/>
        <v>363.214</v>
      </c>
      <c r="I493" s="124">
        <f t="shared" si="58"/>
        <v>399.53540000000004</v>
      </c>
      <c r="J493" s="125">
        <f t="shared" si="59"/>
        <v>544.82100000000003</v>
      </c>
    </row>
    <row r="494" spans="1:10" ht="14.95" customHeight="1">
      <c r="A494" s="7" t="s">
        <v>1687</v>
      </c>
      <c r="B494" s="92">
        <f t="shared" si="51"/>
        <v>161.07120000000003</v>
      </c>
      <c r="C494" s="92">
        <f>('Цены на металл '!AA493*'Цены на металл '!$B$4*1.4)+'Цены на металл '!AB493</f>
        <v>178.96800000000002</v>
      </c>
      <c r="D494" s="92">
        <f t="shared" si="52"/>
        <v>196.86480000000003</v>
      </c>
      <c r="E494" s="92">
        <f t="shared" si="53"/>
        <v>214.76160000000002</v>
      </c>
      <c r="F494" s="92">
        <f t="shared" si="53"/>
        <v>236.23776000000004</v>
      </c>
      <c r="G494" s="92">
        <f t="shared" si="53"/>
        <v>257.71392000000003</v>
      </c>
      <c r="H494" s="124">
        <f t="shared" si="57"/>
        <v>357.93600000000004</v>
      </c>
      <c r="I494" s="124">
        <f t="shared" si="58"/>
        <v>393.72960000000006</v>
      </c>
      <c r="J494" s="125">
        <f t="shared" si="59"/>
        <v>536.904</v>
      </c>
    </row>
    <row r="495" spans="1:10" ht="14.95" customHeight="1">
      <c r="A495" s="7" t="s">
        <v>1688</v>
      </c>
      <c r="B495" s="92">
        <f t="shared" si="51"/>
        <v>171.22680000000003</v>
      </c>
      <c r="C495" s="92">
        <f>('Цены на металл '!AA494*'Цены на металл '!$B$4*1.4)+'Цены на металл '!AB494</f>
        <v>190.25200000000001</v>
      </c>
      <c r="D495" s="92">
        <f t="shared" si="52"/>
        <v>209.27720000000002</v>
      </c>
      <c r="E495" s="92">
        <f t="shared" si="53"/>
        <v>228.30240000000001</v>
      </c>
      <c r="F495" s="92">
        <f t="shared" si="53"/>
        <v>251.13264000000001</v>
      </c>
      <c r="G495" s="92">
        <f t="shared" si="53"/>
        <v>273.96287999999998</v>
      </c>
      <c r="H495" s="124">
        <f t="shared" si="57"/>
        <v>380.50400000000002</v>
      </c>
      <c r="I495" s="124">
        <f t="shared" si="58"/>
        <v>418.55440000000004</v>
      </c>
      <c r="J495" s="125">
        <f t="shared" si="59"/>
        <v>570.75600000000009</v>
      </c>
    </row>
    <row r="496" spans="1:10" ht="14.95" customHeight="1">
      <c r="A496" s="7" t="s">
        <v>1689</v>
      </c>
      <c r="B496" s="92">
        <f t="shared" si="51"/>
        <v>171.7182</v>
      </c>
      <c r="C496" s="92">
        <f>('Цены на металл '!AA495*'Цены на металл '!$B$4*1.4)+'Цены на металл '!AB495</f>
        <v>190.798</v>
      </c>
      <c r="D496" s="92">
        <f t="shared" si="52"/>
        <v>209.87780000000001</v>
      </c>
      <c r="E496" s="92">
        <f t="shared" si="53"/>
        <v>228.95759999999999</v>
      </c>
      <c r="F496" s="92">
        <f t="shared" si="53"/>
        <v>251.85336000000001</v>
      </c>
      <c r="G496" s="92">
        <f t="shared" si="53"/>
        <v>274.74911999999995</v>
      </c>
      <c r="H496" s="124">
        <f t="shared" si="57"/>
        <v>381.596</v>
      </c>
      <c r="I496" s="124">
        <f t="shared" si="58"/>
        <v>419.75560000000002</v>
      </c>
      <c r="J496" s="125">
        <f t="shared" si="59"/>
        <v>572.39400000000001</v>
      </c>
    </row>
    <row r="497" spans="1:10" ht="14.95" customHeight="1">
      <c r="A497" s="7" t="s">
        <v>1690</v>
      </c>
      <c r="B497" s="92">
        <f t="shared" si="51"/>
        <v>170.16210000000001</v>
      </c>
      <c r="C497" s="92">
        <f>('Цены на металл '!AA496*'Цены на металл '!$B$4*1.4)+'Цены на металл '!AB496</f>
        <v>189.06900000000002</v>
      </c>
      <c r="D497" s="92">
        <f t="shared" si="52"/>
        <v>207.97590000000002</v>
      </c>
      <c r="E497" s="92">
        <f t="shared" si="53"/>
        <v>226.8828</v>
      </c>
      <c r="F497" s="92">
        <f t="shared" si="53"/>
        <v>249.57108000000002</v>
      </c>
      <c r="G497" s="92">
        <f t="shared" si="53"/>
        <v>272.25936000000002</v>
      </c>
      <c r="H497" s="124">
        <f t="shared" si="57"/>
        <v>378.13800000000003</v>
      </c>
      <c r="I497" s="124">
        <f t="shared" si="58"/>
        <v>415.95180000000005</v>
      </c>
      <c r="J497" s="125">
        <f t="shared" si="59"/>
        <v>567.20700000000011</v>
      </c>
    </row>
    <row r="498" spans="1:10" ht="14.95" customHeight="1">
      <c r="A498" s="9" t="s">
        <v>1706</v>
      </c>
      <c r="B498" s="92">
        <f t="shared" si="51"/>
        <v>0</v>
      </c>
      <c r="C498" s="92">
        <f>('Цены на металл '!AA497*'Цены на металл '!$B$4*1.4)+'Цены на металл '!AB497</f>
        <v>0</v>
      </c>
      <c r="D498" s="92">
        <f t="shared" si="52"/>
        <v>0</v>
      </c>
      <c r="E498" s="92">
        <f t="shared" si="53"/>
        <v>0</v>
      </c>
      <c r="F498" s="92">
        <f t="shared" si="53"/>
        <v>0</v>
      </c>
      <c r="G498" s="92">
        <f t="shared" si="53"/>
        <v>0</v>
      </c>
      <c r="H498" s="124">
        <f t="shared" si="57"/>
        <v>0</v>
      </c>
      <c r="I498" s="124">
        <f t="shared" si="58"/>
        <v>0</v>
      </c>
      <c r="J498" s="125">
        <f t="shared" si="59"/>
        <v>0</v>
      </c>
    </row>
    <row r="499" spans="1:10" ht="14.95" customHeight="1">
      <c r="A499" s="7" t="s">
        <v>1691</v>
      </c>
      <c r="B499" s="92">
        <f t="shared" si="51"/>
        <v>38.052</v>
      </c>
      <c r="C499" s="92">
        <f>('Цены на металл '!AA498*'Цены на металл '!$B$4*1.4)+'Цены на металл '!AB498</f>
        <v>42.28</v>
      </c>
      <c r="D499" s="92">
        <f t="shared" si="52"/>
        <v>46.508000000000003</v>
      </c>
      <c r="E499" s="92">
        <f t="shared" si="53"/>
        <v>50.735999999999997</v>
      </c>
      <c r="F499" s="92">
        <f t="shared" si="53"/>
        <v>55.809600000000003</v>
      </c>
      <c r="G499" s="92">
        <f t="shared" si="53"/>
        <v>60.883199999999995</v>
      </c>
      <c r="H499" s="124">
        <f t="shared" si="57"/>
        <v>84.56</v>
      </c>
      <c r="I499" s="124">
        <f t="shared" si="58"/>
        <v>93.016000000000005</v>
      </c>
      <c r="J499" s="125">
        <f t="shared" si="59"/>
        <v>126.84</v>
      </c>
    </row>
    <row r="500" spans="1:10" ht="14.95" customHeight="1">
      <c r="A500" s="7" t="s">
        <v>1692</v>
      </c>
      <c r="B500" s="92">
        <f t="shared" si="51"/>
        <v>38.871000000000002</v>
      </c>
      <c r="C500" s="92">
        <f>('Цены на металл '!AA499*'Цены на металл '!$B$4*1.4)+'Цены на металл '!AB499</f>
        <v>43.19</v>
      </c>
      <c r="D500" s="92">
        <f t="shared" si="52"/>
        <v>47.509</v>
      </c>
      <c r="E500" s="92">
        <f t="shared" si="53"/>
        <v>51.827999999999996</v>
      </c>
      <c r="F500" s="92">
        <f t="shared" si="53"/>
        <v>57.010799999999996</v>
      </c>
      <c r="G500" s="92">
        <f t="shared" si="53"/>
        <v>62.193599999999989</v>
      </c>
      <c r="H500" s="124">
        <f t="shared" si="57"/>
        <v>86.38</v>
      </c>
      <c r="I500" s="124">
        <f t="shared" si="58"/>
        <v>95.018000000000001</v>
      </c>
      <c r="J500" s="125">
        <f t="shared" si="59"/>
        <v>129.57</v>
      </c>
    </row>
    <row r="501" spans="1:10" ht="14.95" customHeight="1">
      <c r="A501" s="7" t="s">
        <v>1693</v>
      </c>
      <c r="B501" s="92">
        <f t="shared" si="51"/>
        <v>41.082299999999996</v>
      </c>
      <c r="C501" s="92">
        <f>('Цены на металл '!AA500*'Цены на металл '!$B$4*1.4)+'Цены на металл '!AB500</f>
        <v>45.646999999999998</v>
      </c>
      <c r="D501" s="92">
        <f t="shared" si="52"/>
        <v>50.2117</v>
      </c>
      <c r="E501" s="92">
        <f t="shared" si="53"/>
        <v>54.776399999999995</v>
      </c>
      <c r="F501" s="92">
        <f t="shared" si="53"/>
        <v>60.254039999999996</v>
      </c>
      <c r="G501" s="92">
        <f t="shared" si="53"/>
        <v>65.731679999999997</v>
      </c>
      <c r="H501" s="124">
        <f t="shared" si="57"/>
        <v>91.293999999999997</v>
      </c>
      <c r="I501" s="124">
        <f t="shared" si="58"/>
        <v>100.4234</v>
      </c>
      <c r="J501" s="125">
        <f t="shared" si="59"/>
        <v>136.941</v>
      </c>
    </row>
    <row r="502" spans="1:10" ht="14.95" customHeight="1">
      <c r="A502" s="7" t="s">
        <v>1694</v>
      </c>
      <c r="B502" s="92">
        <f t="shared" si="51"/>
        <v>51.975000000000001</v>
      </c>
      <c r="C502" s="92">
        <f>('Цены на металл '!AA501*'Цены на металл '!$B$4*1.4)+'Цены на металл '!AB501</f>
        <v>57.75</v>
      </c>
      <c r="D502" s="92">
        <f t="shared" si="52"/>
        <v>63.525000000000006</v>
      </c>
      <c r="E502" s="92">
        <f t="shared" si="53"/>
        <v>69.3</v>
      </c>
      <c r="F502" s="92">
        <f t="shared" si="53"/>
        <v>76.23</v>
      </c>
      <c r="G502" s="92">
        <f t="shared" si="53"/>
        <v>83.16</v>
      </c>
      <c r="H502" s="124">
        <f t="shared" si="57"/>
        <v>115.5</v>
      </c>
      <c r="I502" s="124">
        <f t="shared" si="58"/>
        <v>127.05000000000001</v>
      </c>
      <c r="J502" s="125">
        <f t="shared" si="59"/>
        <v>173.25</v>
      </c>
    </row>
    <row r="503" spans="1:10" ht="14.95" customHeight="1">
      <c r="A503" s="7" t="s">
        <v>1695</v>
      </c>
      <c r="B503" s="92">
        <f t="shared" si="51"/>
        <v>57.2166</v>
      </c>
      <c r="C503" s="92">
        <f>('Цены на металл '!AA502*'Цены на металл '!$B$4*1.4)+'Цены на металл '!AB502</f>
        <v>63.573999999999998</v>
      </c>
      <c r="D503" s="92">
        <f t="shared" si="52"/>
        <v>69.931399999999996</v>
      </c>
      <c r="E503" s="92">
        <f t="shared" si="53"/>
        <v>76.288799999999995</v>
      </c>
      <c r="F503" s="92">
        <f t="shared" si="53"/>
        <v>83.91767999999999</v>
      </c>
      <c r="G503" s="92">
        <f t="shared" si="53"/>
        <v>91.546559999999985</v>
      </c>
      <c r="H503" s="124">
        <f t="shared" si="57"/>
        <v>127.148</v>
      </c>
      <c r="I503" s="124">
        <f t="shared" si="58"/>
        <v>139.86279999999999</v>
      </c>
      <c r="J503" s="125">
        <f t="shared" si="59"/>
        <v>190.72199999999998</v>
      </c>
    </row>
    <row r="504" spans="1:10" ht="14.95" customHeight="1">
      <c r="A504" s="7" t="s">
        <v>1696</v>
      </c>
      <c r="B504" s="92">
        <f t="shared" si="51"/>
        <v>60.164999999999999</v>
      </c>
      <c r="C504" s="92">
        <f>('Цены на металл '!AA503*'Цены на металл '!$B$4*1.4)+'Цены на металл '!AB503</f>
        <v>66.849999999999994</v>
      </c>
      <c r="D504" s="92">
        <f t="shared" si="52"/>
        <v>73.534999999999997</v>
      </c>
      <c r="E504" s="92">
        <f t="shared" si="53"/>
        <v>80.219999999999985</v>
      </c>
      <c r="F504" s="92">
        <f t="shared" si="53"/>
        <v>88.24199999999999</v>
      </c>
      <c r="G504" s="92">
        <f t="shared" si="53"/>
        <v>96.263999999999982</v>
      </c>
      <c r="H504" s="124">
        <f t="shared" si="57"/>
        <v>133.69999999999999</v>
      </c>
      <c r="I504" s="124">
        <f t="shared" si="58"/>
        <v>147.07</v>
      </c>
      <c r="J504" s="125">
        <f t="shared" si="59"/>
        <v>200.54999999999998</v>
      </c>
    </row>
    <row r="505" spans="1:10" ht="14.95" customHeight="1">
      <c r="A505" s="7" t="s">
        <v>1697</v>
      </c>
      <c r="B505" s="92">
        <f t="shared" si="51"/>
        <v>61.884899999999995</v>
      </c>
      <c r="C505" s="92">
        <f>('Цены на металл '!AA504*'Цены на металл '!$B$4*1.4)+'Цены на металл '!AB504</f>
        <v>68.760999999999996</v>
      </c>
      <c r="D505" s="92">
        <f t="shared" si="52"/>
        <v>75.637100000000004</v>
      </c>
      <c r="E505" s="92">
        <f t="shared" si="53"/>
        <v>82.513199999999998</v>
      </c>
      <c r="F505" s="92">
        <f t="shared" si="53"/>
        <v>90.764520000000005</v>
      </c>
      <c r="G505" s="92">
        <f t="shared" si="53"/>
        <v>99.015839999999997</v>
      </c>
      <c r="H505" s="124">
        <f t="shared" si="57"/>
        <v>137.52199999999999</v>
      </c>
      <c r="I505" s="124">
        <f t="shared" si="58"/>
        <v>151.27420000000001</v>
      </c>
      <c r="J505" s="125">
        <f t="shared" si="59"/>
        <v>206.28299999999999</v>
      </c>
    </row>
    <row r="506" spans="1:10" ht="14.95" customHeight="1">
      <c r="A506" s="7" t="s">
        <v>1698</v>
      </c>
      <c r="B506" s="92">
        <f t="shared" si="51"/>
        <v>49.272300000000001</v>
      </c>
      <c r="C506" s="92">
        <f>('Цены на металл '!AA505*'Цены на металл '!$B$4*1.4)+'Цены на металл '!AB505</f>
        <v>54.747</v>
      </c>
      <c r="D506" s="92">
        <f t="shared" si="52"/>
        <v>60.221700000000006</v>
      </c>
      <c r="E506" s="92">
        <f t="shared" si="53"/>
        <v>65.696399999999997</v>
      </c>
      <c r="F506" s="92">
        <f t="shared" si="53"/>
        <v>72.266040000000004</v>
      </c>
      <c r="G506" s="92">
        <f t="shared" si="53"/>
        <v>78.835679999999996</v>
      </c>
      <c r="H506" s="124">
        <f t="shared" si="57"/>
        <v>109.494</v>
      </c>
      <c r="I506" s="124">
        <f t="shared" si="58"/>
        <v>120.44340000000001</v>
      </c>
      <c r="J506" s="125">
        <f t="shared" si="59"/>
        <v>164.24099999999999</v>
      </c>
    </row>
    <row r="507" spans="1:10" ht="14.95" customHeight="1">
      <c r="A507" s="7" t="s">
        <v>1699</v>
      </c>
      <c r="B507" s="92">
        <f t="shared" si="51"/>
        <v>49.108499999999999</v>
      </c>
      <c r="C507" s="92">
        <f>('Цены на металл '!AA506*'Цены на металл '!$B$4*1.4)+'Цены на металл '!AB506</f>
        <v>54.564999999999998</v>
      </c>
      <c r="D507" s="92">
        <f t="shared" si="52"/>
        <v>60.021500000000003</v>
      </c>
      <c r="E507" s="92">
        <f t="shared" si="53"/>
        <v>65.477999999999994</v>
      </c>
      <c r="F507" s="92">
        <f t="shared" si="53"/>
        <v>72.025800000000004</v>
      </c>
      <c r="G507" s="92">
        <f t="shared" si="53"/>
        <v>78.573599999999985</v>
      </c>
      <c r="H507" s="124">
        <f t="shared" si="57"/>
        <v>109.13</v>
      </c>
      <c r="I507" s="124">
        <f t="shared" si="58"/>
        <v>120.04300000000001</v>
      </c>
      <c r="J507" s="125">
        <f t="shared" si="59"/>
        <v>163.69499999999999</v>
      </c>
    </row>
    <row r="508" spans="1:10" ht="14.95" customHeight="1">
      <c r="A508" s="7" t="s">
        <v>1700</v>
      </c>
      <c r="B508" s="92">
        <f t="shared" si="51"/>
        <v>57.298499999999997</v>
      </c>
      <c r="C508" s="92">
        <f>('Цены на металл '!AA507*'Цены на металл '!$B$4*1.4)+'Цены на металл '!AB507</f>
        <v>63.664999999999999</v>
      </c>
      <c r="D508" s="92">
        <f t="shared" si="52"/>
        <v>70.031500000000008</v>
      </c>
      <c r="E508" s="92">
        <f t="shared" si="53"/>
        <v>76.397999999999996</v>
      </c>
      <c r="F508" s="92">
        <f t="shared" si="53"/>
        <v>84.037800000000004</v>
      </c>
      <c r="G508" s="92">
        <f t="shared" si="53"/>
        <v>91.677599999999998</v>
      </c>
      <c r="H508" s="124">
        <f t="shared" si="57"/>
        <v>127.33</v>
      </c>
      <c r="I508" s="124">
        <f t="shared" si="58"/>
        <v>140.06300000000002</v>
      </c>
      <c r="J508" s="125">
        <f t="shared" si="59"/>
        <v>190.995</v>
      </c>
    </row>
    <row r="509" spans="1:10" ht="14.95" customHeight="1">
      <c r="A509" s="7" t="s">
        <v>1701</v>
      </c>
      <c r="B509" s="92">
        <f t="shared" si="51"/>
        <v>65.488499999999988</v>
      </c>
      <c r="C509" s="92">
        <f>('Цены на металл '!AA508*'Цены на металл '!$B$4*1.4)+'Цены на металл '!AB508</f>
        <v>72.764999999999986</v>
      </c>
      <c r="D509" s="92">
        <f t="shared" si="52"/>
        <v>80.041499999999985</v>
      </c>
      <c r="E509" s="92">
        <f t="shared" si="53"/>
        <v>87.317999999999984</v>
      </c>
      <c r="F509" s="92">
        <f t="shared" si="53"/>
        <v>96.049799999999976</v>
      </c>
      <c r="G509" s="92">
        <f t="shared" si="53"/>
        <v>104.78159999999998</v>
      </c>
      <c r="H509" s="124">
        <f t="shared" si="57"/>
        <v>145.52999999999997</v>
      </c>
      <c r="I509" s="124">
        <f t="shared" si="58"/>
        <v>160.08299999999997</v>
      </c>
      <c r="J509" s="125">
        <f t="shared" si="59"/>
        <v>218.29499999999996</v>
      </c>
    </row>
    <row r="510" spans="1:10" ht="14.95" customHeight="1">
      <c r="A510" s="7" t="s">
        <v>1702</v>
      </c>
      <c r="B510" s="92">
        <f t="shared" si="51"/>
        <v>73.678500000000014</v>
      </c>
      <c r="C510" s="92">
        <f>('Цены на металл '!AA509*'Цены на металл '!$B$4*1.4)+'Цены на металл '!AB509</f>
        <v>81.865000000000009</v>
      </c>
      <c r="D510" s="92">
        <f t="shared" si="52"/>
        <v>90.051500000000019</v>
      </c>
      <c r="E510" s="92">
        <f t="shared" si="53"/>
        <v>98.238000000000014</v>
      </c>
      <c r="F510" s="92">
        <f t="shared" si="53"/>
        <v>108.06180000000002</v>
      </c>
      <c r="G510" s="92">
        <f t="shared" si="53"/>
        <v>117.88560000000001</v>
      </c>
      <c r="H510" s="124">
        <f t="shared" si="57"/>
        <v>163.73000000000002</v>
      </c>
      <c r="I510" s="124">
        <f t="shared" si="58"/>
        <v>180.10300000000004</v>
      </c>
      <c r="J510" s="125">
        <f t="shared" si="59"/>
        <v>245.59500000000003</v>
      </c>
    </row>
    <row r="511" spans="1:10" ht="14.95" customHeight="1">
      <c r="A511" s="7" t="s">
        <v>1703</v>
      </c>
      <c r="B511" s="92">
        <f t="shared" si="51"/>
        <v>81.868500000000012</v>
      </c>
      <c r="C511" s="92">
        <f>('Цены на металл '!AA510*'Цены на металл '!$B$4*1.4)+'Цены на металл '!AB510</f>
        <v>90.965000000000003</v>
      </c>
      <c r="D511" s="92">
        <f t="shared" si="52"/>
        <v>100.06150000000001</v>
      </c>
      <c r="E511" s="92">
        <f t="shared" si="53"/>
        <v>109.158</v>
      </c>
      <c r="F511" s="92">
        <f t="shared" si="53"/>
        <v>120.07380000000001</v>
      </c>
      <c r="G511" s="92">
        <f t="shared" si="53"/>
        <v>130.9896</v>
      </c>
      <c r="H511" s="124">
        <f t="shared" si="57"/>
        <v>181.93</v>
      </c>
      <c r="I511" s="124">
        <f t="shared" si="58"/>
        <v>200.12300000000002</v>
      </c>
      <c r="J511" s="125">
        <f t="shared" si="59"/>
        <v>272.89499999999998</v>
      </c>
    </row>
    <row r="512" spans="1:10" ht="14.95" customHeight="1">
      <c r="A512" s="7" t="s">
        <v>1704</v>
      </c>
      <c r="B512" s="92">
        <f t="shared" si="51"/>
        <v>90.058499999999995</v>
      </c>
      <c r="C512" s="92">
        <f>('Цены на металл '!AA511*'Цены на металл '!$B$4*1.4)+'Цены на металл '!AB511</f>
        <v>100.065</v>
      </c>
      <c r="D512" s="92">
        <f t="shared" si="52"/>
        <v>110.0715</v>
      </c>
      <c r="E512" s="92">
        <f t="shared" si="53"/>
        <v>120.07799999999999</v>
      </c>
      <c r="F512" s="92">
        <f t="shared" si="53"/>
        <v>132.08580000000001</v>
      </c>
      <c r="G512" s="92">
        <f t="shared" si="53"/>
        <v>144.09359999999998</v>
      </c>
      <c r="H512" s="124">
        <f t="shared" si="57"/>
        <v>200.13</v>
      </c>
      <c r="I512" s="124">
        <f t="shared" si="58"/>
        <v>220.143</v>
      </c>
      <c r="J512" s="125">
        <f t="shared" si="59"/>
        <v>300.19499999999999</v>
      </c>
    </row>
    <row r="513" spans="1:10" ht="14.95" customHeight="1">
      <c r="A513" s="9" t="s">
        <v>1761</v>
      </c>
      <c r="B513" s="92">
        <f t="shared" si="51"/>
        <v>0</v>
      </c>
      <c r="C513" s="92">
        <f>('Цены на металл '!AA512*'Цены на металл '!$B$4*1.4)+'Цены на металл '!AB512</f>
        <v>0</v>
      </c>
      <c r="D513" s="92">
        <f t="shared" si="52"/>
        <v>0</v>
      </c>
      <c r="E513" s="92">
        <f t="shared" si="53"/>
        <v>0</v>
      </c>
      <c r="F513" s="92">
        <f t="shared" si="53"/>
        <v>0</v>
      </c>
      <c r="G513" s="92">
        <f t="shared" si="53"/>
        <v>0</v>
      </c>
      <c r="H513" s="124">
        <f t="shared" si="57"/>
        <v>0</v>
      </c>
      <c r="I513" s="124">
        <f t="shared" si="58"/>
        <v>0</v>
      </c>
      <c r="J513" s="125">
        <f t="shared" si="59"/>
        <v>0</v>
      </c>
    </row>
    <row r="514" spans="1:10" ht="14.95" customHeight="1">
      <c r="A514" s="7" t="s">
        <v>1709</v>
      </c>
      <c r="B514" s="92">
        <f t="shared" si="51"/>
        <v>131.50530000000001</v>
      </c>
      <c r="C514" s="92">
        <f>('Цены на металл '!AA513*'Цены на металл '!$B$4*1.4)+'Цены на металл '!AB513</f>
        <v>146.11699999999999</v>
      </c>
      <c r="D514" s="92">
        <f t="shared" si="52"/>
        <v>160.7287</v>
      </c>
      <c r="E514" s="92">
        <f t="shared" si="53"/>
        <v>175.34039999999999</v>
      </c>
      <c r="F514" s="92">
        <f t="shared" si="53"/>
        <v>192.87443999999999</v>
      </c>
      <c r="G514" s="92">
        <f t="shared" si="53"/>
        <v>210.40847999999997</v>
      </c>
      <c r="H514" s="124">
        <f t="shared" si="57"/>
        <v>292.23399999999998</v>
      </c>
      <c r="I514" s="124">
        <f t="shared" si="58"/>
        <v>321.45740000000001</v>
      </c>
      <c r="J514" s="125">
        <f t="shared" si="59"/>
        <v>438.351</v>
      </c>
    </row>
    <row r="515" spans="1:10" ht="14.95" customHeight="1">
      <c r="A515" s="7" t="s">
        <v>1710</v>
      </c>
      <c r="B515" s="92">
        <f t="shared" si="51"/>
        <v>128.80260000000001</v>
      </c>
      <c r="C515" s="92">
        <f>('Цены на металл '!AA514*'Цены на металл '!$B$4*1.4)+'Цены на металл '!AB514</f>
        <v>143.114</v>
      </c>
      <c r="D515" s="92">
        <f t="shared" si="52"/>
        <v>157.42540000000002</v>
      </c>
      <c r="E515" s="92">
        <f t="shared" si="53"/>
        <v>171.73679999999999</v>
      </c>
      <c r="F515" s="92">
        <f t="shared" si="53"/>
        <v>188.91048000000004</v>
      </c>
      <c r="G515" s="92">
        <f t="shared" si="53"/>
        <v>206.08415999999997</v>
      </c>
      <c r="H515" s="124">
        <f t="shared" si="57"/>
        <v>286.22800000000001</v>
      </c>
      <c r="I515" s="124">
        <f t="shared" si="58"/>
        <v>314.85080000000005</v>
      </c>
      <c r="J515" s="125">
        <f t="shared" si="59"/>
        <v>429.34199999999998</v>
      </c>
    </row>
    <row r="516" spans="1:10" ht="14.95" customHeight="1">
      <c r="A516" s="7" t="s">
        <v>1711</v>
      </c>
      <c r="B516" s="92">
        <f t="shared" si="51"/>
        <v>133.63470000000001</v>
      </c>
      <c r="C516" s="92">
        <f>('Цены на металл '!AA515*'Цены на металл '!$B$4*1.4)+'Цены на металл '!AB515</f>
        <v>148.483</v>
      </c>
      <c r="D516" s="92">
        <f t="shared" si="52"/>
        <v>163.33130000000003</v>
      </c>
      <c r="E516" s="92">
        <f t="shared" si="53"/>
        <v>178.17959999999999</v>
      </c>
      <c r="F516" s="92">
        <f t="shared" si="53"/>
        <v>195.99756000000002</v>
      </c>
      <c r="G516" s="92">
        <f t="shared" si="53"/>
        <v>213.81551999999999</v>
      </c>
      <c r="H516" s="124">
        <f t="shared" si="57"/>
        <v>296.96600000000001</v>
      </c>
      <c r="I516" s="124">
        <f t="shared" si="58"/>
        <v>326.66260000000005</v>
      </c>
      <c r="J516" s="125">
        <f t="shared" si="59"/>
        <v>445.44900000000001</v>
      </c>
    </row>
    <row r="517" spans="1:10" ht="14.95" customHeight="1">
      <c r="A517" s="7" t="s">
        <v>1760</v>
      </c>
      <c r="B517" s="92">
        <f t="shared" ref="B517:B580" si="60">C517*0.9</f>
        <v>133.06140000000002</v>
      </c>
      <c r="C517" s="92">
        <f>('Цены на металл '!AA516*'Цены на металл '!$B$4*1.4)+'Цены на металл '!AB516</f>
        <v>147.846</v>
      </c>
      <c r="D517" s="92">
        <f t="shared" ref="D517:D580" si="61">C517*1.1</f>
        <v>162.63060000000002</v>
      </c>
      <c r="E517" s="92">
        <f t="shared" ref="E517:G580" si="62">C517*1.2</f>
        <v>177.4152</v>
      </c>
      <c r="F517" s="92">
        <f t="shared" si="62"/>
        <v>195.15672000000001</v>
      </c>
      <c r="G517" s="92">
        <f t="shared" si="62"/>
        <v>212.89823999999999</v>
      </c>
      <c r="H517" s="124">
        <f t="shared" si="57"/>
        <v>295.69200000000001</v>
      </c>
      <c r="I517" s="124">
        <f t="shared" si="58"/>
        <v>325.26120000000003</v>
      </c>
      <c r="J517" s="125">
        <f t="shared" si="59"/>
        <v>443.53800000000001</v>
      </c>
    </row>
    <row r="518" spans="1:10" ht="14.95" customHeight="1">
      <c r="A518" s="7" t="s">
        <v>1712</v>
      </c>
      <c r="B518" s="92">
        <f t="shared" si="60"/>
        <v>140.59619999999998</v>
      </c>
      <c r="C518" s="92">
        <f>('Цены на металл '!AA517*'Цены на металл '!$B$4*1.4)+'Цены на металл '!AB517</f>
        <v>156.21799999999999</v>
      </c>
      <c r="D518" s="92">
        <f t="shared" si="61"/>
        <v>171.8398</v>
      </c>
      <c r="E518" s="92">
        <f t="shared" si="62"/>
        <v>187.46159999999998</v>
      </c>
      <c r="F518" s="92">
        <f t="shared" si="62"/>
        <v>206.20775999999998</v>
      </c>
      <c r="G518" s="92">
        <f t="shared" si="62"/>
        <v>224.95391999999995</v>
      </c>
      <c r="H518" s="124">
        <f t="shared" si="57"/>
        <v>312.43599999999998</v>
      </c>
      <c r="I518" s="124">
        <f t="shared" si="58"/>
        <v>343.67959999999999</v>
      </c>
      <c r="J518" s="125">
        <f t="shared" si="59"/>
        <v>468.654</v>
      </c>
    </row>
    <row r="519" spans="1:10" ht="14.95" customHeight="1">
      <c r="A519" s="7" t="s">
        <v>1713</v>
      </c>
      <c r="B519" s="92">
        <f t="shared" si="60"/>
        <v>140.84189999999998</v>
      </c>
      <c r="C519" s="92">
        <f>('Цены на металл '!AA518*'Цены на металл '!$B$4*1.4)+'Цены на металл '!AB518</f>
        <v>156.49099999999999</v>
      </c>
      <c r="D519" s="92">
        <f t="shared" si="61"/>
        <v>172.14009999999999</v>
      </c>
      <c r="E519" s="92">
        <f t="shared" si="62"/>
        <v>187.78919999999997</v>
      </c>
      <c r="F519" s="92">
        <f t="shared" si="62"/>
        <v>206.56811999999999</v>
      </c>
      <c r="G519" s="92">
        <f t="shared" si="62"/>
        <v>225.34703999999996</v>
      </c>
      <c r="H519" s="124">
        <f t="shared" si="57"/>
        <v>312.98199999999997</v>
      </c>
      <c r="I519" s="124">
        <f t="shared" si="58"/>
        <v>344.28019999999998</v>
      </c>
      <c r="J519" s="125">
        <f t="shared" si="59"/>
        <v>469.47299999999996</v>
      </c>
    </row>
    <row r="520" spans="1:10" ht="14.95" customHeight="1">
      <c r="A520" s="7" t="s">
        <v>1714</v>
      </c>
      <c r="B520" s="92">
        <f t="shared" si="60"/>
        <v>139.6953</v>
      </c>
      <c r="C520" s="92">
        <f>('Цены на металл '!AA519*'Цены на металл '!$B$4*1.4)+'Цены на металл '!AB519</f>
        <v>155.21699999999998</v>
      </c>
      <c r="D520" s="92">
        <f t="shared" si="61"/>
        <v>170.73869999999999</v>
      </c>
      <c r="E520" s="92">
        <f t="shared" si="62"/>
        <v>186.26039999999998</v>
      </c>
      <c r="F520" s="92">
        <f t="shared" si="62"/>
        <v>204.88643999999999</v>
      </c>
      <c r="G520" s="92">
        <f t="shared" si="62"/>
        <v>223.51247999999995</v>
      </c>
      <c r="H520" s="124">
        <f t="shared" si="57"/>
        <v>310.43399999999997</v>
      </c>
      <c r="I520" s="124">
        <f t="shared" si="58"/>
        <v>341.47739999999999</v>
      </c>
      <c r="J520" s="125">
        <f t="shared" si="59"/>
        <v>465.65099999999995</v>
      </c>
    </row>
    <row r="521" spans="1:10" ht="14.95" customHeight="1">
      <c r="A521" s="7" t="s">
        <v>1715</v>
      </c>
      <c r="B521" s="92">
        <f t="shared" si="60"/>
        <v>149.19569999999999</v>
      </c>
      <c r="C521" s="92">
        <f>('Цены на металл '!AA520*'Цены на металл '!$B$4*1.4)+'Цены на металл '!AB520</f>
        <v>165.773</v>
      </c>
      <c r="D521" s="92">
        <f t="shared" si="61"/>
        <v>182.3503</v>
      </c>
      <c r="E521" s="92">
        <f t="shared" si="62"/>
        <v>198.92759999999998</v>
      </c>
      <c r="F521" s="92">
        <f t="shared" si="62"/>
        <v>218.82035999999999</v>
      </c>
      <c r="G521" s="92">
        <f t="shared" si="62"/>
        <v>238.71311999999998</v>
      </c>
      <c r="H521" s="124">
        <f t="shared" si="57"/>
        <v>331.54599999999999</v>
      </c>
      <c r="I521" s="124">
        <f t="shared" si="58"/>
        <v>364.70060000000001</v>
      </c>
      <c r="J521" s="125">
        <f t="shared" si="59"/>
        <v>497.31899999999996</v>
      </c>
    </row>
    <row r="522" spans="1:10" ht="14.95" customHeight="1">
      <c r="A522" s="7" t="s">
        <v>1716</v>
      </c>
      <c r="B522" s="92">
        <f t="shared" si="60"/>
        <v>148.29480000000001</v>
      </c>
      <c r="C522" s="92">
        <f>('Цены на металл '!AA521*'Цены на металл '!$B$4*1.4)+'Цены на металл '!AB521</f>
        <v>164.77199999999999</v>
      </c>
      <c r="D522" s="92">
        <f t="shared" si="61"/>
        <v>181.2492</v>
      </c>
      <c r="E522" s="92">
        <f t="shared" si="62"/>
        <v>197.72639999999998</v>
      </c>
      <c r="F522" s="92">
        <f t="shared" si="62"/>
        <v>217.49904000000001</v>
      </c>
      <c r="G522" s="92">
        <f t="shared" si="62"/>
        <v>237.27167999999998</v>
      </c>
      <c r="H522" s="124">
        <f t="shared" si="57"/>
        <v>329.54399999999998</v>
      </c>
      <c r="I522" s="124">
        <f t="shared" si="58"/>
        <v>362.4984</v>
      </c>
      <c r="J522" s="125">
        <f t="shared" si="59"/>
        <v>494.31599999999997</v>
      </c>
    </row>
    <row r="523" spans="1:10" ht="14.95" customHeight="1">
      <c r="A523" s="7" t="s">
        <v>1717</v>
      </c>
      <c r="B523" s="92">
        <f t="shared" si="60"/>
        <v>155.33820000000003</v>
      </c>
      <c r="C523" s="92">
        <f>('Цены на металл '!AA522*'Цены на металл '!$B$4*1.4)+'Цены на металл '!AB522</f>
        <v>172.59800000000001</v>
      </c>
      <c r="D523" s="92">
        <f t="shared" si="61"/>
        <v>189.85780000000003</v>
      </c>
      <c r="E523" s="92">
        <f t="shared" si="62"/>
        <v>207.11760000000001</v>
      </c>
      <c r="F523" s="92">
        <f t="shared" si="62"/>
        <v>227.82936000000004</v>
      </c>
      <c r="G523" s="92">
        <f t="shared" si="62"/>
        <v>248.54112000000001</v>
      </c>
      <c r="H523" s="124">
        <f t="shared" si="57"/>
        <v>345.19600000000003</v>
      </c>
      <c r="I523" s="124">
        <f t="shared" si="58"/>
        <v>379.71560000000005</v>
      </c>
      <c r="J523" s="125">
        <f t="shared" si="59"/>
        <v>517.7940000000001</v>
      </c>
    </row>
    <row r="524" spans="1:10" ht="14.95" customHeight="1">
      <c r="A524" s="7" t="s">
        <v>1718</v>
      </c>
      <c r="B524" s="92">
        <f t="shared" si="60"/>
        <v>156.0753</v>
      </c>
      <c r="C524" s="92">
        <f>('Цены на металл '!AA523*'Цены на металл '!$B$4*1.4)+'Цены на металл '!AB523</f>
        <v>173.417</v>
      </c>
      <c r="D524" s="92">
        <f t="shared" si="61"/>
        <v>190.7587</v>
      </c>
      <c r="E524" s="92">
        <f t="shared" si="62"/>
        <v>208.10040000000001</v>
      </c>
      <c r="F524" s="92">
        <f t="shared" si="62"/>
        <v>228.91043999999999</v>
      </c>
      <c r="G524" s="92">
        <f t="shared" si="62"/>
        <v>249.72048000000001</v>
      </c>
      <c r="H524" s="124">
        <f t="shared" ref="H524:H555" si="63">C524*2</f>
        <v>346.834</v>
      </c>
      <c r="I524" s="124">
        <f t="shared" ref="I524:I555" si="64">D524*2</f>
        <v>381.51740000000001</v>
      </c>
      <c r="J524" s="125">
        <f t="shared" ref="J524:J555" si="65">C524*3</f>
        <v>520.25099999999998</v>
      </c>
    </row>
    <row r="525" spans="1:10" ht="14.95" customHeight="1">
      <c r="A525" s="7" t="s">
        <v>1719</v>
      </c>
      <c r="B525" s="92">
        <f t="shared" si="60"/>
        <v>155.33820000000003</v>
      </c>
      <c r="C525" s="92">
        <f>('Цены на металл '!AA524*'Цены на металл '!$B$4*1.4)+'Цены на металл '!AB524</f>
        <v>172.59800000000001</v>
      </c>
      <c r="D525" s="92">
        <f t="shared" si="61"/>
        <v>189.85780000000003</v>
      </c>
      <c r="E525" s="92">
        <f t="shared" si="62"/>
        <v>207.11760000000001</v>
      </c>
      <c r="F525" s="92">
        <f t="shared" si="62"/>
        <v>227.82936000000004</v>
      </c>
      <c r="G525" s="92">
        <f t="shared" si="62"/>
        <v>248.54112000000001</v>
      </c>
      <c r="H525" s="124">
        <f t="shared" si="63"/>
        <v>345.19600000000003</v>
      </c>
      <c r="I525" s="124">
        <f t="shared" si="64"/>
        <v>379.71560000000005</v>
      </c>
      <c r="J525" s="125">
        <f t="shared" si="65"/>
        <v>517.7940000000001</v>
      </c>
    </row>
    <row r="526" spans="1:10" ht="14.95" customHeight="1">
      <c r="A526" s="7" t="s">
        <v>1720</v>
      </c>
      <c r="B526" s="92">
        <f t="shared" si="60"/>
        <v>165.49380000000002</v>
      </c>
      <c r="C526" s="92">
        <f>('Цены на металл '!AA525*'Цены на металл '!$B$4*1.4)+'Цены на металл '!AB525</f>
        <v>183.88200000000001</v>
      </c>
      <c r="D526" s="92">
        <f t="shared" si="61"/>
        <v>202.27020000000002</v>
      </c>
      <c r="E526" s="92">
        <f t="shared" si="62"/>
        <v>220.6584</v>
      </c>
      <c r="F526" s="92">
        <f t="shared" si="62"/>
        <v>242.72424000000001</v>
      </c>
      <c r="G526" s="92">
        <f t="shared" si="62"/>
        <v>264.79007999999999</v>
      </c>
      <c r="H526" s="124">
        <f t="shared" si="63"/>
        <v>367.76400000000001</v>
      </c>
      <c r="I526" s="124">
        <f t="shared" si="64"/>
        <v>404.54040000000003</v>
      </c>
      <c r="J526" s="125">
        <f t="shared" si="65"/>
        <v>551.64599999999996</v>
      </c>
    </row>
    <row r="527" spans="1:10" ht="14.95" customHeight="1">
      <c r="A527" s="7" t="s">
        <v>1721</v>
      </c>
      <c r="B527" s="92">
        <f t="shared" si="60"/>
        <v>173.92949999999999</v>
      </c>
      <c r="C527" s="92">
        <f>('Цены на металл '!AA526*'Цены на металл '!$B$4*1.4)+'Цены на металл '!AB526</f>
        <v>193.255</v>
      </c>
      <c r="D527" s="92">
        <f t="shared" si="61"/>
        <v>212.5805</v>
      </c>
      <c r="E527" s="92">
        <f t="shared" si="62"/>
        <v>231.90599999999998</v>
      </c>
      <c r="F527" s="92">
        <f t="shared" si="62"/>
        <v>255.0966</v>
      </c>
      <c r="G527" s="92">
        <f t="shared" si="62"/>
        <v>278.28719999999998</v>
      </c>
      <c r="H527" s="124">
        <f t="shared" si="63"/>
        <v>386.51</v>
      </c>
      <c r="I527" s="124">
        <f t="shared" si="64"/>
        <v>425.161</v>
      </c>
      <c r="J527" s="125">
        <f t="shared" si="65"/>
        <v>579.76499999999999</v>
      </c>
    </row>
    <row r="528" spans="1:10" ht="14.95" customHeight="1">
      <c r="A528" s="7" t="s">
        <v>1722</v>
      </c>
      <c r="B528" s="92">
        <f t="shared" si="60"/>
        <v>134.61750000000001</v>
      </c>
      <c r="C528" s="92">
        <f>('Цены на металл '!AA527*'Цены на металл '!$B$4*1.4)+'Цены на металл '!AB527</f>
        <v>149.57499999999999</v>
      </c>
      <c r="D528" s="92">
        <f t="shared" si="61"/>
        <v>164.5325</v>
      </c>
      <c r="E528" s="92">
        <f t="shared" si="62"/>
        <v>179.48999999999998</v>
      </c>
      <c r="F528" s="92">
        <f t="shared" si="62"/>
        <v>197.43899999999999</v>
      </c>
      <c r="G528" s="92">
        <f t="shared" si="62"/>
        <v>215.38799999999998</v>
      </c>
      <c r="H528" s="124">
        <f t="shared" si="63"/>
        <v>299.14999999999998</v>
      </c>
      <c r="I528" s="124">
        <f t="shared" si="64"/>
        <v>329.065</v>
      </c>
      <c r="J528" s="125">
        <f t="shared" si="65"/>
        <v>448.72499999999997</v>
      </c>
    </row>
    <row r="529" spans="1:10" ht="14.95" customHeight="1">
      <c r="A529" s="7" t="s">
        <v>1723</v>
      </c>
      <c r="B529" s="92">
        <f t="shared" si="60"/>
        <v>138.38489999999999</v>
      </c>
      <c r="C529" s="92">
        <f>('Цены на металл '!AA528*'Цены на металл '!$B$4*1.4)+'Цены на металл '!AB528</f>
        <v>153.761</v>
      </c>
      <c r="D529" s="92">
        <f t="shared" si="61"/>
        <v>169.1371</v>
      </c>
      <c r="E529" s="92">
        <f t="shared" si="62"/>
        <v>184.51319999999998</v>
      </c>
      <c r="F529" s="92">
        <f t="shared" si="62"/>
        <v>202.96451999999999</v>
      </c>
      <c r="G529" s="92">
        <f t="shared" si="62"/>
        <v>221.41583999999997</v>
      </c>
      <c r="H529" s="124">
        <f t="shared" si="63"/>
        <v>307.52199999999999</v>
      </c>
      <c r="I529" s="124">
        <f t="shared" si="64"/>
        <v>338.27420000000001</v>
      </c>
      <c r="J529" s="125">
        <f t="shared" si="65"/>
        <v>461.28300000000002</v>
      </c>
    </row>
    <row r="530" spans="1:10" ht="14.95" customHeight="1">
      <c r="A530" s="7" t="s">
        <v>1724</v>
      </c>
      <c r="B530" s="92">
        <f t="shared" si="60"/>
        <v>138.95820000000001</v>
      </c>
      <c r="C530" s="92">
        <f>('Цены на металл '!AA529*'Цены на металл '!$B$4*1.4)+'Цены на металл '!AB529</f>
        <v>154.398</v>
      </c>
      <c r="D530" s="92">
        <f t="shared" si="61"/>
        <v>169.83780000000002</v>
      </c>
      <c r="E530" s="92">
        <f t="shared" si="62"/>
        <v>185.27759999999998</v>
      </c>
      <c r="F530" s="92">
        <f t="shared" si="62"/>
        <v>203.80536000000001</v>
      </c>
      <c r="G530" s="92">
        <f t="shared" si="62"/>
        <v>222.33311999999998</v>
      </c>
      <c r="H530" s="124">
        <f t="shared" si="63"/>
        <v>308.79599999999999</v>
      </c>
      <c r="I530" s="124">
        <f t="shared" si="64"/>
        <v>339.67560000000003</v>
      </c>
      <c r="J530" s="125">
        <f t="shared" si="65"/>
        <v>463.19399999999996</v>
      </c>
    </row>
    <row r="531" spans="1:10" ht="14.95" customHeight="1">
      <c r="A531" s="7" t="s">
        <v>1725</v>
      </c>
      <c r="B531" s="92">
        <f t="shared" si="60"/>
        <v>147.47579999999999</v>
      </c>
      <c r="C531" s="92">
        <f>('Цены на металл '!AA530*'Цены на металл '!$B$4*1.4)+'Цены на металл '!AB530</f>
        <v>163.86199999999999</v>
      </c>
      <c r="D531" s="92">
        <f t="shared" si="61"/>
        <v>180.2482</v>
      </c>
      <c r="E531" s="92">
        <f t="shared" si="62"/>
        <v>196.6344</v>
      </c>
      <c r="F531" s="92">
        <f t="shared" si="62"/>
        <v>216.29783999999998</v>
      </c>
      <c r="G531" s="92">
        <f t="shared" si="62"/>
        <v>235.96127999999999</v>
      </c>
      <c r="H531" s="124">
        <f t="shared" si="63"/>
        <v>327.72399999999999</v>
      </c>
      <c r="I531" s="124">
        <f t="shared" si="64"/>
        <v>360.49639999999999</v>
      </c>
      <c r="J531" s="125">
        <f t="shared" si="65"/>
        <v>491.58600000000001</v>
      </c>
    </row>
    <row r="532" spans="1:10" ht="14.95" customHeight="1">
      <c r="A532" s="7" t="s">
        <v>1726</v>
      </c>
      <c r="B532" s="92">
        <f t="shared" si="60"/>
        <v>148.95000000000002</v>
      </c>
      <c r="C532" s="92">
        <f>('Цены на металл '!AA531*'Цены на металл '!$B$4*1.4)+'Цены на металл '!AB531</f>
        <v>165.5</v>
      </c>
      <c r="D532" s="92">
        <f t="shared" si="61"/>
        <v>182.05</v>
      </c>
      <c r="E532" s="92">
        <f t="shared" si="62"/>
        <v>198.6</v>
      </c>
      <c r="F532" s="92">
        <f t="shared" si="62"/>
        <v>218.46</v>
      </c>
      <c r="G532" s="92">
        <f t="shared" si="62"/>
        <v>238.32</v>
      </c>
      <c r="H532" s="124">
        <f t="shared" si="63"/>
        <v>331</v>
      </c>
      <c r="I532" s="124">
        <f t="shared" si="64"/>
        <v>364.1</v>
      </c>
      <c r="J532" s="125">
        <f t="shared" si="65"/>
        <v>496.5</v>
      </c>
    </row>
    <row r="533" spans="1:10" ht="14.95" customHeight="1">
      <c r="A533" s="7" t="s">
        <v>1727</v>
      </c>
      <c r="B533" s="92">
        <f t="shared" si="60"/>
        <v>147.06629999999998</v>
      </c>
      <c r="C533" s="92">
        <f>('Цены на металл '!AA532*'Цены на металл '!$B$4*1.4)+'Цены на металл '!AB532</f>
        <v>163.40699999999998</v>
      </c>
      <c r="D533" s="92">
        <f t="shared" si="61"/>
        <v>179.74770000000001</v>
      </c>
      <c r="E533" s="92">
        <f t="shared" si="62"/>
        <v>196.08839999999998</v>
      </c>
      <c r="F533" s="92">
        <f t="shared" si="62"/>
        <v>215.69723999999999</v>
      </c>
      <c r="G533" s="92">
        <f t="shared" si="62"/>
        <v>235.30607999999995</v>
      </c>
      <c r="H533" s="124">
        <f t="shared" si="63"/>
        <v>326.81399999999996</v>
      </c>
      <c r="I533" s="124">
        <f t="shared" si="64"/>
        <v>359.49540000000002</v>
      </c>
      <c r="J533" s="125">
        <f t="shared" si="65"/>
        <v>490.22099999999995</v>
      </c>
    </row>
    <row r="534" spans="1:10" ht="14.95" customHeight="1">
      <c r="A534" s="7" t="s">
        <v>1728</v>
      </c>
      <c r="B534" s="92">
        <f t="shared" si="60"/>
        <v>156.321</v>
      </c>
      <c r="C534" s="92">
        <f>('Цены на металл '!AA533*'Цены на металл '!$B$4*1.4)+'Цены на металл '!AB533</f>
        <v>173.69</v>
      </c>
      <c r="D534" s="92">
        <f t="shared" si="61"/>
        <v>191.05900000000003</v>
      </c>
      <c r="E534" s="92">
        <f t="shared" si="62"/>
        <v>208.428</v>
      </c>
      <c r="F534" s="92">
        <f t="shared" si="62"/>
        <v>229.27080000000004</v>
      </c>
      <c r="G534" s="92">
        <f t="shared" si="62"/>
        <v>250.11359999999999</v>
      </c>
      <c r="H534" s="124">
        <f t="shared" si="63"/>
        <v>347.38</v>
      </c>
      <c r="I534" s="124">
        <f t="shared" si="64"/>
        <v>382.11800000000005</v>
      </c>
      <c r="J534" s="125">
        <f t="shared" si="65"/>
        <v>521.06999999999994</v>
      </c>
    </row>
    <row r="535" spans="1:10" ht="14.95" customHeight="1">
      <c r="A535" s="7" t="s">
        <v>1729</v>
      </c>
      <c r="B535" s="92">
        <f t="shared" si="60"/>
        <v>155.74770000000001</v>
      </c>
      <c r="C535" s="92">
        <f>('Цены на металл '!AA534*'Цены на металл '!$B$4*1.4)+'Цены на металл '!AB534</f>
        <v>173.053</v>
      </c>
      <c r="D535" s="92">
        <f t="shared" si="61"/>
        <v>190.35830000000001</v>
      </c>
      <c r="E535" s="92">
        <f t="shared" si="62"/>
        <v>207.6636</v>
      </c>
      <c r="F535" s="92">
        <f t="shared" si="62"/>
        <v>228.42996000000002</v>
      </c>
      <c r="G535" s="92">
        <f t="shared" si="62"/>
        <v>249.19631999999999</v>
      </c>
      <c r="H535" s="124">
        <f t="shared" si="63"/>
        <v>346.10599999999999</v>
      </c>
      <c r="I535" s="124">
        <f t="shared" si="64"/>
        <v>380.71660000000003</v>
      </c>
      <c r="J535" s="125">
        <f t="shared" si="65"/>
        <v>519.15899999999999</v>
      </c>
    </row>
    <row r="536" spans="1:10" ht="14.95" customHeight="1">
      <c r="A536" s="7" t="s">
        <v>1730</v>
      </c>
      <c r="B536" s="92">
        <f t="shared" si="60"/>
        <v>159.59699999999998</v>
      </c>
      <c r="C536" s="92">
        <f>('Цены на металл '!AA535*'Цены на металл '!$B$4*1.4)+'Цены на металл '!AB535</f>
        <v>177.32999999999998</v>
      </c>
      <c r="D536" s="92">
        <f t="shared" si="61"/>
        <v>195.06299999999999</v>
      </c>
      <c r="E536" s="92">
        <f t="shared" si="62"/>
        <v>212.79599999999996</v>
      </c>
      <c r="F536" s="92">
        <f t="shared" si="62"/>
        <v>234.07559999999998</v>
      </c>
      <c r="G536" s="92">
        <f t="shared" si="62"/>
        <v>255.35519999999994</v>
      </c>
      <c r="H536" s="124">
        <f t="shared" si="63"/>
        <v>354.65999999999997</v>
      </c>
      <c r="I536" s="124">
        <f t="shared" si="64"/>
        <v>390.12599999999998</v>
      </c>
      <c r="J536" s="125">
        <f t="shared" si="65"/>
        <v>531.99</v>
      </c>
    </row>
    <row r="537" spans="1:10" ht="14.95" customHeight="1">
      <c r="A537" s="7" t="s">
        <v>1731</v>
      </c>
      <c r="B537" s="92">
        <f t="shared" si="60"/>
        <v>165.32999999999998</v>
      </c>
      <c r="C537" s="92">
        <f>('Цены на металл '!AA536*'Цены на металл '!$B$4*1.4)+'Цены на металл '!AB536</f>
        <v>183.7</v>
      </c>
      <c r="D537" s="92">
        <f t="shared" si="61"/>
        <v>202.07</v>
      </c>
      <c r="E537" s="92">
        <f t="shared" si="62"/>
        <v>220.43999999999997</v>
      </c>
      <c r="F537" s="92">
        <f t="shared" si="62"/>
        <v>242.48399999999998</v>
      </c>
      <c r="G537" s="92">
        <f t="shared" si="62"/>
        <v>264.52799999999996</v>
      </c>
      <c r="H537" s="124">
        <f t="shared" si="63"/>
        <v>367.4</v>
      </c>
      <c r="I537" s="124">
        <f t="shared" si="64"/>
        <v>404.14</v>
      </c>
      <c r="J537" s="125">
        <f t="shared" si="65"/>
        <v>551.09999999999991</v>
      </c>
    </row>
    <row r="538" spans="1:10" ht="14.95" customHeight="1">
      <c r="A538" s="7" t="s">
        <v>1732</v>
      </c>
      <c r="B538" s="92">
        <f t="shared" si="60"/>
        <v>169.42500000000001</v>
      </c>
      <c r="C538" s="92">
        <f>('Цены на металл '!AA537*'Цены на металл '!$B$4*1.4)+'Цены на металл '!AB537</f>
        <v>188.25</v>
      </c>
      <c r="D538" s="92">
        <f t="shared" si="61"/>
        <v>207.07500000000002</v>
      </c>
      <c r="E538" s="92">
        <f t="shared" si="62"/>
        <v>225.9</v>
      </c>
      <c r="F538" s="92">
        <f t="shared" si="62"/>
        <v>248.49</v>
      </c>
      <c r="G538" s="92">
        <f t="shared" si="62"/>
        <v>271.08</v>
      </c>
      <c r="H538" s="124">
        <f t="shared" si="63"/>
        <v>376.5</v>
      </c>
      <c r="I538" s="124">
        <f t="shared" si="64"/>
        <v>414.15000000000003</v>
      </c>
      <c r="J538" s="125">
        <f t="shared" si="65"/>
        <v>564.75</v>
      </c>
    </row>
    <row r="539" spans="1:10" ht="14.95" customHeight="1">
      <c r="A539" s="7" t="s">
        <v>1733</v>
      </c>
      <c r="B539" s="92">
        <f t="shared" si="60"/>
        <v>173.52</v>
      </c>
      <c r="C539" s="92">
        <f>('Цены на металл '!AA538*'Цены на металл '!$B$4*1.4)+'Цены на металл '!AB538</f>
        <v>192.8</v>
      </c>
      <c r="D539" s="92">
        <f t="shared" si="61"/>
        <v>212.08000000000004</v>
      </c>
      <c r="E539" s="92">
        <f t="shared" si="62"/>
        <v>231.36</v>
      </c>
      <c r="F539" s="92">
        <f t="shared" si="62"/>
        <v>254.49600000000004</v>
      </c>
      <c r="G539" s="92">
        <f t="shared" si="62"/>
        <v>277.63200000000001</v>
      </c>
      <c r="H539" s="124">
        <f t="shared" si="63"/>
        <v>385.6</v>
      </c>
      <c r="I539" s="124">
        <f t="shared" si="64"/>
        <v>424.16000000000008</v>
      </c>
      <c r="J539" s="125">
        <f t="shared" si="65"/>
        <v>578.40000000000009</v>
      </c>
    </row>
    <row r="540" spans="1:10" ht="14.95" customHeight="1">
      <c r="A540" s="7" t="s">
        <v>1734</v>
      </c>
      <c r="B540" s="92">
        <f t="shared" si="60"/>
        <v>177.61500000000001</v>
      </c>
      <c r="C540" s="92">
        <f>('Цены на металл '!AA539*'Цены на металл '!$B$4*1.4)+'Цены на металл '!AB539</f>
        <v>197.35</v>
      </c>
      <c r="D540" s="92">
        <f t="shared" si="61"/>
        <v>217.08500000000001</v>
      </c>
      <c r="E540" s="92">
        <f t="shared" si="62"/>
        <v>236.82</v>
      </c>
      <c r="F540" s="92">
        <f t="shared" si="62"/>
        <v>260.50200000000001</v>
      </c>
      <c r="G540" s="92">
        <f t="shared" si="62"/>
        <v>284.18399999999997</v>
      </c>
      <c r="H540" s="124">
        <f t="shared" si="63"/>
        <v>394.7</v>
      </c>
      <c r="I540" s="124">
        <f t="shared" si="64"/>
        <v>434.17</v>
      </c>
      <c r="J540" s="125">
        <f t="shared" si="65"/>
        <v>592.04999999999995</v>
      </c>
    </row>
    <row r="541" spans="1:10" ht="14.95" customHeight="1">
      <c r="A541" s="7" t="s">
        <v>1735</v>
      </c>
      <c r="B541" s="92">
        <f t="shared" si="60"/>
        <v>139.77719999999999</v>
      </c>
      <c r="C541" s="92">
        <f>('Цены на металл '!AA540*'Цены на металл '!$B$4*1.4)+'Цены на металл '!AB540</f>
        <v>155.30799999999999</v>
      </c>
      <c r="D541" s="92">
        <f t="shared" si="61"/>
        <v>170.83879999999999</v>
      </c>
      <c r="E541" s="92">
        <f t="shared" si="62"/>
        <v>186.36959999999999</v>
      </c>
      <c r="F541" s="92">
        <f t="shared" si="62"/>
        <v>205.00655999999998</v>
      </c>
      <c r="G541" s="92">
        <f t="shared" si="62"/>
        <v>223.64352</v>
      </c>
      <c r="H541" s="124">
        <f t="shared" si="63"/>
        <v>310.61599999999999</v>
      </c>
      <c r="I541" s="124">
        <f t="shared" si="64"/>
        <v>341.67759999999998</v>
      </c>
      <c r="J541" s="125">
        <f t="shared" si="65"/>
        <v>465.92399999999998</v>
      </c>
    </row>
    <row r="542" spans="1:10" ht="14.95" customHeight="1">
      <c r="A542" s="7" t="s">
        <v>1736</v>
      </c>
      <c r="B542" s="92">
        <f t="shared" si="60"/>
        <v>142.88939999999999</v>
      </c>
      <c r="C542" s="92">
        <f>('Цены на металл '!AA541*'Цены на металл '!$B$4*1.4)+'Цены на металл '!AB541</f>
        <v>158.76599999999999</v>
      </c>
      <c r="D542" s="92">
        <f t="shared" si="61"/>
        <v>174.64260000000002</v>
      </c>
      <c r="E542" s="92">
        <f t="shared" si="62"/>
        <v>190.51919999999998</v>
      </c>
      <c r="F542" s="92">
        <f t="shared" si="62"/>
        <v>209.57112000000001</v>
      </c>
      <c r="G542" s="92">
        <f t="shared" si="62"/>
        <v>228.62303999999997</v>
      </c>
      <c r="H542" s="124">
        <f t="shared" si="63"/>
        <v>317.53199999999998</v>
      </c>
      <c r="I542" s="124">
        <f t="shared" si="64"/>
        <v>349.28520000000003</v>
      </c>
      <c r="J542" s="125">
        <f t="shared" si="65"/>
        <v>476.298</v>
      </c>
    </row>
    <row r="543" spans="1:10" ht="14.95" customHeight="1">
      <c r="A543" s="7" t="s">
        <v>1737</v>
      </c>
      <c r="B543" s="92">
        <f t="shared" si="60"/>
        <v>147.47579999999999</v>
      </c>
      <c r="C543" s="92">
        <f>('Цены на металл '!AA542*'Цены на металл '!$B$4*1.4)+'Цены на металл '!AB542</f>
        <v>163.86199999999999</v>
      </c>
      <c r="D543" s="92">
        <f t="shared" si="61"/>
        <v>180.2482</v>
      </c>
      <c r="E543" s="92">
        <f t="shared" si="62"/>
        <v>196.6344</v>
      </c>
      <c r="F543" s="92">
        <f t="shared" si="62"/>
        <v>216.29783999999998</v>
      </c>
      <c r="G543" s="92">
        <f t="shared" si="62"/>
        <v>235.96127999999999</v>
      </c>
      <c r="H543" s="124">
        <f t="shared" si="63"/>
        <v>327.72399999999999</v>
      </c>
      <c r="I543" s="124">
        <f t="shared" si="64"/>
        <v>360.49639999999999</v>
      </c>
      <c r="J543" s="125">
        <f t="shared" si="65"/>
        <v>491.58600000000001</v>
      </c>
    </row>
    <row r="544" spans="1:10" ht="14.95" customHeight="1">
      <c r="A544" s="7" t="s">
        <v>1738</v>
      </c>
      <c r="B544" s="92">
        <f t="shared" si="60"/>
        <v>152.79929999999999</v>
      </c>
      <c r="C544" s="92">
        <f>('Цены на металл '!AA543*'Цены на металл '!$B$4*1.4)+'Цены на металл '!AB543</f>
        <v>169.77699999999999</v>
      </c>
      <c r="D544" s="92">
        <f t="shared" si="61"/>
        <v>186.75470000000001</v>
      </c>
      <c r="E544" s="92">
        <f t="shared" si="62"/>
        <v>203.73239999999998</v>
      </c>
      <c r="F544" s="92">
        <f t="shared" si="62"/>
        <v>224.10564000000002</v>
      </c>
      <c r="G544" s="92">
        <f t="shared" si="62"/>
        <v>244.47887999999998</v>
      </c>
      <c r="H544" s="124">
        <f t="shared" si="63"/>
        <v>339.55399999999997</v>
      </c>
      <c r="I544" s="124">
        <f t="shared" si="64"/>
        <v>373.50940000000003</v>
      </c>
      <c r="J544" s="125">
        <f t="shared" si="65"/>
        <v>509.33099999999996</v>
      </c>
    </row>
    <row r="545" spans="1:10" ht="14.95" customHeight="1">
      <c r="A545" s="7" t="s">
        <v>1739</v>
      </c>
      <c r="B545" s="92">
        <f t="shared" si="60"/>
        <v>157.13999999999999</v>
      </c>
      <c r="C545" s="92">
        <f>('Цены на металл '!AA544*'Цены на металл '!$B$4*1.4)+'Цены на металл '!AB544</f>
        <v>174.6</v>
      </c>
      <c r="D545" s="92">
        <f t="shared" si="61"/>
        <v>192.06</v>
      </c>
      <c r="E545" s="92">
        <f t="shared" si="62"/>
        <v>209.51999999999998</v>
      </c>
      <c r="F545" s="92">
        <f t="shared" si="62"/>
        <v>230.47199999999998</v>
      </c>
      <c r="G545" s="92">
        <f t="shared" si="62"/>
        <v>251.42399999999998</v>
      </c>
      <c r="H545" s="124">
        <f t="shared" si="63"/>
        <v>349.2</v>
      </c>
      <c r="I545" s="124">
        <f t="shared" si="64"/>
        <v>384.12</v>
      </c>
      <c r="J545" s="125">
        <f t="shared" si="65"/>
        <v>523.79999999999995</v>
      </c>
    </row>
    <row r="546" spans="1:10" ht="14.95" customHeight="1">
      <c r="A546" s="7" t="s">
        <v>1740</v>
      </c>
      <c r="B546" s="92">
        <f t="shared" si="60"/>
        <v>151.9803</v>
      </c>
      <c r="C546" s="92">
        <f>('Цены на металл '!AA545*'Цены на металл '!$B$4*1.4)+'Цены на металл '!AB545</f>
        <v>168.86699999999999</v>
      </c>
      <c r="D546" s="92">
        <f t="shared" si="61"/>
        <v>185.75370000000001</v>
      </c>
      <c r="E546" s="92">
        <f t="shared" si="62"/>
        <v>202.64039999999997</v>
      </c>
      <c r="F546" s="92">
        <f t="shared" si="62"/>
        <v>222.90443999999999</v>
      </c>
      <c r="G546" s="92">
        <f t="shared" si="62"/>
        <v>243.16847999999996</v>
      </c>
      <c r="H546" s="124">
        <f t="shared" si="63"/>
        <v>337.73399999999998</v>
      </c>
      <c r="I546" s="124">
        <f t="shared" si="64"/>
        <v>371.50740000000002</v>
      </c>
      <c r="J546" s="125">
        <f t="shared" si="65"/>
        <v>506.601</v>
      </c>
    </row>
    <row r="547" spans="1:10" ht="14.95" customHeight="1">
      <c r="A547" s="7" t="s">
        <v>1741</v>
      </c>
      <c r="B547" s="92">
        <f t="shared" si="60"/>
        <v>163.44630000000001</v>
      </c>
      <c r="C547" s="92">
        <f>('Цены на металл '!AA546*'Цены на металл '!$B$4*1.4)+'Цены на металл '!AB546</f>
        <v>181.607</v>
      </c>
      <c r="D547" s="92">
        <f t="shared" si="61"/>
        <v>199.76770000000002</v>
      </c>
      <c r="E547" s="92">
        <f t="shared" si="62"/>
        <v>217.92839999999998</v>
      </c>
      <c r="F547" s="92">
        <f t="shared" si="62"/>
        <v>239.72124000000002</v>
      </c>
      <c r="G547" s="92">
        <f t="shared" si="62"/>
        <v>261.51407999999998</v>
      </c>
      <c r="H547" s="124">
        <f t="shared" si="63"/>
        <v>363.214</v>
      </c>
      <c r="I547" s="124">
        <f t="shared" si="64"/>
        <v>399.53540000000004</v>
      </c>
      <c r="J547" s="125">
        <f t="shared" si="65"/>
        <v>544.82100000000003</v>
      </c>
    </row>
    <row r="548" spans="1:10" ht="14.95" customHeight="1">
      <c r="A548" s="7" t="s">
        <v>1742</v>
      </c>
      <c r="B548" s="92">
        <f t="shared" si="60"/>
        <v>161.07120000000003</v>
      </c>
      <c r="C548" s="92">
        <f>('Цены на металл '!AA547*'Цены на металл '!$B$4*1.4)+'Цены на металл '!AB547</f>
        <v>178.96800000000002</v>
      </c>
      <c r="D548" s="92">
        <f t="shared" si="61"/>
        <v>196.86480000000003</v>
      </c>
      <c r="E548" s="92">
        <f t="shared" si="62"/>
        <v>214.76160000000002</v>
      </c>
      <c r="F548" s="92">
        <f t="shared" si="62"/>
        <v>236.23776000000004</v>
      </c>
      <c r="G548" s="92">
        <f t="shared" si="62"/>
        <v>257.71392000000003</v>
      </c>
      <c r="H548" s="124">
        <f t="shared" si="63"/>
        <v>357.93600000000004</v>
      </c>
      <c r="I548" s="124">
        <f t="shared" si="64"/>
        <v>393.72960000000006</v>
      </c>
      <c r="J548" s="125">
        <f t="shared" si="65"/>
        <v>536.904</v>
      </c>
    </row>
    <row r="549" spans="1:10" ht="14.95" customHeight="1">
      <c r="A549" s="7" t="s">
        <v>1743</v>
      </c>
      <c r="B549" s="92">
        <f t="shared" si="60"/>
        <v>171.22680000000003</v>
      </c>
      <c r="C549" s="92">
        <f>('Цены на металл '!AA548*'Цены на металл '!$B$4*1.4)+'Цены на металл '!AB548</f>
        <v>190.25200000000001</v>
      </c>
      <c r="D549" s="92">
        <f t="shared" si="61"/>
        <v>209.27720000000002</v>
      </c>
      <c r="E549" s="92">
        <f t="shared" si="62"/>
        <v>228.30240000000001</v>
      </c>
      <c r="F549" s="92">
        <f t="shared" si="62"/>
        <v>251.13264000000001</v>
      </c>
      <c r="G549" s="92">
        <f t="shared" si="62"/>
        <v>273.96287999999998</v>
      </c>
      <c r="H549" s="124">
        <f t="shared" si="63"/>
        <v>380.50400000000002</v>
      </c>
      <c r="I549" s="124">
        <f t="shared" si="64"/>
        <v>418.55440000000004</v>
      </c>
      <c r="J549" s="125">
        <f t="shared" si="65"/>
        <v>570.75600000000009</v>
      </c>
    </row>
    <row r="550" spans="1:10" ht="14.95" customHeight="1">
      <c r="A550" s="7" t="s">
        <v>1744</v>
      </c>
      <c r="B550" s="92">
        <f t="shared" si="60"/>
        <v>171.7182</v>
      </c>
      <c r="C550" s="92">
        <f>('Цены на металл '!AA549*'Цены на металл '!$B$4*1.4)+'Цены на металл '!AB549</f>
        <v>190.798</v>
      </c>
      <c r="D550" s="92">
        <f t="shared" si="61"/>
        <v>209.87780000000001</v>
      </c>
      <c r="E550" s="92">
        <f t="shared" si="62"/>
        <v>228.95759999999999</v>
      </c>
      <c r="F550" s="92">
        <f t="shared" si="62"/>
        <v>251.85336000000001</v>
      </c>
      <c r="G550" s="92">
        <f t="shared" si="62"/>
        <v>274.74911999999995</v>
      </c>
      <c r="H550" s="124">
        <f t="shared" si="63"/>
        <v>381.596</v>
      </c>
      <c r="I550" s="124">
        <f t="shared" si="64"/>
        <v>419.75560000000002</v>
      </c>
      <c r="J550" s="125">
        <f t="shared" si="65"/>
        <v>572.39400000000001</v>
      </c>
    </row>
    <row r="551" spans="1:10" ht="14.95" customHeight="1">
      <c r="A551" s="7" t="s">
        <v>1745</v>
      </c>
      <c r="B551" s="92">
        <f t="shared" si="60"/>
        <v>170.16210000000001</v>
      </c>
      <c r="C551" s="92">
        <f>('Цены на металл '!AA550*'Цены на металл '!$B$4*1.4)+'Цены на металл '!AB550</f>
        <v>189.06900000000002</v>
      </c>
      <c r="D551" s="92">
        <f t="shared" si="61"/>
        <v>207.97590000000002</v>
      </c>
      <c r="E551" s="92">
        <f t="shared" si="62"/>
        <v>226.8828</v>
      </c>
      <c r="F551" s="92">
        <f t="shared" si="62"/>
        <v>249.57108000000002</v>
      </c>
      <c r="G551" s="92">
        <f t="shared" si="62"/>
        <v>272.25936000000002</v>
      </c>
      <c r="H551" s="124">
        <f t="shared" si="63"/>
        <v>378.13800000000003</v>
      </c>
      <c r="I551" s="124">
        <f t="shared" si="64"/>
        <v>415.95180000000005</v>
      </c>
      <c r="J551" s="125">
        <f t="shared" si="65"/>
        <v>567.20700000000011</v>
      </c>
    </row>
    <row r="552" spans="1:10" ht="14.95" customHeight="1">
      <c r="A552" s="9" t="s">
        <v>1872</v>
      </c>
      <c r="B552" s="92">
        <f t="shared" si="60"/>
        <v>0</v>
      </c>
      <c r="C552" s="92">
        <f>('Цены на металл '!AA551*'Цены на металл '!$B$4*1.4)+'Цены на металл '!AB551</f>
        <v>0</v>
      </c>
      <c r="D552" s="92">
        <f t="shared" si="61"/>
        <v>0</v>
      </c>
      <c r="E552" s="92">
        <f t="shared" si="62"/>
        <v>0</v>
      </c>
      <c r="F552" s="92">
        <f t="shared" si="62"/>
        <v>0</v>
      </c>
      <c r="G552" s="92">
        <f t="shared" si="62"/>
        <v>0</v>
      </c>
      <c r="H552" s="124">
        <f t="shared" si="63"/>
        <v>0</v>
      </c>
      <c r="I552" s="124">
        <f t="shared" si="64"/>
        <v>0</v>
      </c>
      <c r="J552" s="125">
        <f t="shared" si="65"/>
        <v>0</v>
      </c>
    </row>
    <row r="553" spans="1:10" ht="14.95" customHeight="1">
      <c r="A553" s="7" t="s">
        <v>1746</v>
      </c>
      <c r="B553" s="92">
        <f t="shared" si="60"/>
        <v>38.052</v>
      </c>
      <c r="C553" s="92">
        <f>('Цены на металл '!AA552*'Цены на металл '!$B$4*1.4)+'Цены на металл '!AB552</f>
        <v>42.28</v>
      </c>
      <c r="D553" s="92">
        <f t="shared" si="61"/>
        <v>46.508000000000003</v>
      </c>
      <c r="E553" s="92">
        <f t="shared" si="62"/>
        <v>50.735999999999997</v>
      </c>
      <c r="F553" s="92">
        <f t="shared" si="62"/>
        <v>55.809600000000003</v>
      </c>
      <c r="G553" s="92">
        <f t="shared" si="62"/>
        <v>60.883199999999995</v>
      </c>
      <c r="H553" s="124">
        <f t="shared" si="63"/>
        <v>84.56</v>
      </c>
      <c r="I553" s="124">
        <f t="shared" si="64"/>
        <v>93.016000000000005</v>
      </c>
      <c r="J553" s="125">
        <f t="shared" si="65"/>
        <v>126.84</v>
      </c>
    </row>
    <row r="554" spans="1:10" ht="14.95" customHeight="1">
      <c r="A554" s="7" t="s">
        <v>1747</v>
      </c>
      <c r="B554" s="92">
        <f t="shared" si="60"/>
        <v>38.871000000000002</v>
      </c>
      <c r="C554" s="92">
        <f>('Цены на металл '!AA553*'Цены на металл '!$B$4*1.4)+'Цены на металл '!AB553</f>
        <v>43.19</v>
      </c>
      <c r="D554" s="92">
        <f t="shared" si="61"/>
        <v>47.509</v>
      </c>
      <c r="E554" s="92">
        <f t="shared" si="62"/>
        <v>51.827999999999996</v>
      </c>
      <c r="F554" s="92">
        <f t="shared" si="62"/>
        <v>57.010799999999996</v>
      </c>
      <c r="G554" s="92">
        <f t="shared" si="62"/>
        <v>62.193599999999989</v>
      </c>
      <c r="H554" s="124">
        <f t="shared" si="63"/>
        <v>86.38</v>
      </c>
      <c r="I554" s="124">
        <f t="shared" si="64"/>
        <v>95.018000000000001</v>
      </c>
      <c r="J554" s="125">
        <f t="shared" si="65"/>
        <v>129.57</v>
      </c>
    </row>
    <row r="555" spans="1:10" ht="14.95" customHeight="1">
      <c r="A555" s="7" t="s">
        <v>1748</v>
      </c>
      <c r="B555" s="92">
        <f t="shared" si="60"/>
        <v>41.082299999999996</v>
      </c>
      <c r="C555" s="92">
        <f>('Цены на металл '!AA554*'Цены на металл '!$B$4*1.4)+'Цены на металл '!AB554</f>
        <v>45.646999999999998</v>
      </c>
      <c r="D555" s="92">
        <f t="shared" si="61"/>
        <v>50.2117</v>
      </c>
      <c r="E555" s="92">
        <f t="shared" si="62"/>
        <v>54.776399999999995</v>
      </c>
      <c r="F555" s="92">
        <f t="shared" si="62"/>
        <v>60.254039999999996</v>
      </c>
      <c r="G555" s="92">
        <f t="shared" si="62"/>
        <v>65.731679999999997</v>
      </c>
      <c r="H555" s="124">
        <f t="shared" si="63"/>
        <v>91.293999999999997</v>
      </c>
      <c r="I555" s="124">
        <f t="shared" si="64"/>
        <v>100.4234</v>
      </c>
      <c r="J555" s="125">
        <f t="shared" si="65"/>
        <v>136.941</v>
      </c>
    </row>
    <row r="556" spans="1:10" ht="14.95" customHeight="1">
      <c r="A556" s="7" t="s">
        <v>1749</v>
      </c>
      <c r="B556" s="92">
        <f t="shared" si="60"/>
        <v>51.975000000000001</v>
      </c>
      <c r="C556" s="92">
        <f>('Цены на металл '!AA555*'Цены на металл '!$B$4*1.4)+'Цены на металл '!AB555</f>
        <v>57.75</v>
      </c>
      <c r="D556" s="92">
        <f t="shared" si="61"/>
        <v>63.525000000000006</v>
      </c>
      <c r="E556" s="92">
        <f t="shared" si="62"/>
        <v>69.3</v>
      </c>
      <c r="F556" s="92">
        <f t="shared" si="62"/>
        <v>76.23</v>
      </c>
      <c r="G556" s="92">
        <f t="shared" si="62"/>
        <v>83.16</v>
      </c>
      <c r="H556" s="124">
        <f t="shared" ref="H556:H587" si="66">C556*2</f>
        <v>115.5</v>
      </c>
      <c r="I556" s="124">
        <f t="shared" ref="I556:I587" si="67">D556*2</f>
        <v>127.05000000000001</v>
      </c>
      <c r="J556" s="125">
        <f t="shared" ref="J556:J587" si="68">C556*3</f>
        <v>173.25</v>
      </c>
    </row>
    <row r="557" spans="1:10" ht="14.95" customHeight="1">
      <c r="A557" s="7" t="s">
        <v>1750</v>
      </c>
      <c r="B557" s="92">
        <f t="shared" si="60"/>
        <v>57.2166</v>
      </c>
      <c r="C557" s="92">
        <f>('Цены на металл '!AA556*'Цены на металл '!$B$4*1.4)+'Цены на металл '!AB556</f>
        <v>63.573999999999998</v>
      </c>
      <c r="D557" s="92">
        <f t="shared" si="61"/>
        <v>69.931399999999996</v>
      </c>
      <c r="E557" s="92">
        <f t="shared" si="62"/>
        <v>76.288799999999995</v>
      </c>
      <c r="F557" s="92">
        <f t="shared" si="62"/>
        <v>83.91767999999999</v>
      </c>
      <c r="G557" s="92">
        <f t="shared" si="62"/>
        <v>91.546559999999985</v>
      </c>
      <c r="H557" s="124">
        <f t="shared" si="66"/>
        <v>127.148</v>
      </c>
      <c r="I557" s="124">
        <f t="shared" si="67"/>
        <v>139.86279999999999</v>
      </c>
      <c r="J557" s="125">
        <f t="shared" si="68"/>
        <v>190.72199999999998</v>
      </c>
    </row>
    <row r="558" spans="1:10" ht="14.95" customHeight="1">
      <c r="A558" s="7" t="s">
        <v>1751</v>
      </c>
      <c r="B558" s="92">
        <f t="shared" si="60"/>
        <v>60.164999999999999</v>
      </c>
      <c r="C558" s="92">
        <f>('Цены на металл '!AA557*'Цены на металл '!$B$4*1.4)+'Цены на металл '!AB557</f>
        <v>66.849999999999994</v>
      </c>
      <c r="D558" s="92">
        <f t="shared" si="61"/>
        <v>73.534999999999997</v>
      </c>
      <c r="E558" s="92">
        <f t="shared" si="62"/>
        <v>80.219999999999985</v>
      </c>
      <c r="F558" s="92">
        <f t="shared" si="62"/>
        <v>88.24199999999999</v>
      </c>
      <c r="G558" s="92">
        <f t="shared" si="62"/>
        <v>96.263999999999982</v>
      </c>
      <c r="H558" s="124">
        <f t="shared" si="66"/>
        <v>133.69999999999999</v>
      </c>
      <c r="I558" s="124">
        <f t="shared" si="67"/>
        <v>147.07</v>
      </c>
      <c r="J558" s="125">
        <f t="shared" si="68"/>
        <v>200.54999999999998</v>
      </c>
    </row>
    <row r="559" spans="1:10" ht="14.95" customHeight="1">
      <c r="A559" s="7" t="s">
        <v>1752</v>
      </c>
      <c r="B559" s="92">
        <f t="shared" si="60"/>
        <v>61.884899999999995</v>
      </c>
      <c r="C559" s="92">
        <f>('Цены на металл '!AA558*'Цены на металл '!$B$4*1.4)+'Цены на металл '!AB558</f>
        <v>68.760999999999996</v>
      </c>
      <c r="D559" s="92">
        <f t="shared" si="61"/>
        <v>75.637100000000004</v>
      </c>
      <c r="E559" s="92">
        <f t="shared" si="62"/>
        <v>82.513199999999998</v>
      </c>
      <c r="F559" s="92">
        <f t="shared" si="62"/>
        <v>90.764520000000005</v>
      </c>
      <c r="G559" s="92">
        <f t="shared" si="62"/>
        <v>99.015839999999997</v>
      </c>
      <c r="H559" s="124">
        <f t="shared" si="66"/>
        <v>137.52199999999999</v>
      </c>
      <c r="I559" s="124">
        <f t="shared" si="67"/>
        <v>151.27420000000001</v>
      </c>
      <c r="J559" s="125">
        <f t="shared" si="68"/>
        <v>206.28299999999999</v>
      </c>
    </row>
    <row r="560" spans="1:10" ht="14.95" customHeight="1">
      <c r="A560" s="7" t="s">
        <v>1753</v>
      </c>
      <c r="B560" s="92">
        <f t="shared" si="60"/>
        <v>49.272300000000001</v>
      </c>
      <c r="C560" s="92">
        <f>('Цены на металл '!AA559*'Цены на металл '!$B$4*1.4)+'Цены на металл '!AB559</f>
        <v>54.747</v>
      </c>
      <c r="D560" s="92">
        <f t="shared" si="61"/>
        <v>60.221700000000006</v>
      </c>
      <c r="E560" s="92">
        <f t="shared" si="62"/>
        <v>65.696399999999997</v>
      </c>
      <c r="F560" s="92">
        <f t="shared" si="62"/>
        <v>72.266040000000004</v>
      </c>
      <c r="G560" s="92">
        <f t="shared" si="62"/>
        <v>78.835679999999996</v>
      </c>
      <c r="H560" s="124">
        <f t="shared" si="66"/>
        <v>109.494</v>
      </c>
      <c r="I560" s="124">
        <f t="shared" si="67"/>
        <v>120.44340000000001</v>
      </c>
      <c r="J560" s="125">
        <f t="shared" si="68"/>
        <v>164.24099999999999</v>
      </c>
    </row>
    <row r="561" spans="1:10" ht="14.95" customHeight="1">
      <c r="A561" s="7" t="s">
        <v>1754</v>
      </c>
      <c r="B561" s="92">
        <f t="shared" si="60"/>
        <v>49.108499999999999</v>
      </c>
      <c r="C561" s="92">
        <f>('Цены на металл '!AA560*'Цены на металл '!$B$4*1.4)+'Цены на металл '!AB560</f>
        <v>54.564999999999998</v>
      </c>
      <c r="D561" s="92">
        <f t="shared" si="61"/>
        <v>60.021500000000003</v>
      </c>
      <c r="E561" s="92">
        <f t="shared" si="62"/>
        <v>65.477999999999994</v>
      </c>
      <c r="F561" s="92">
        <f t="shared" si="62"/>
        <v>72.025800000000004</v>
      </c>
      <c r="G561" s="92">
        <f t="shared" si="62"/>
        <v>78.573599999999985</v>
      </c>
      <c r="H561" s="124">
        <f t="shared" si="66"/>
        <v>109.13</v>
      </c>
      <c r="I561" s="124">
        <f t="shared" si="67"/>
        <v>120.04300000000001</v>
      </c>
      <c r="J561" s="125">
        <f t="shared" si="68"/>
        <v>163.69499999999999</v>
      </c>
    </row>
    <row r="562" spans="1:10" ht="14.95" customHeight="1">
      <c r="A562" s="7" t="s">
        <v>1755</v>
      </c>
      <c r="B562" s="92">
        <f t="shared" si="60"/>
        <v>57.298499999999997</v>
      </c>
      <c r="C562" s="92">
        <f>('Цены на металл '!AA561*'Цены на металл '!$B$4*1.4)+'Цены на металл '!AB561</f>
        <v>63.664999999999999</v>
      </c>
      <c r="D562" s="92">
        <f t="shared" si="61"/>
        <v>70.031500000000008</v>
      </c>
      <c r="E562" s="92">
        <f t="shared" si="62"/>
        <v>76.397999999999996</v>
      </c>
      <c r="F562" s="92">
        <f t="shared" si="62"/>
        <v>84.037800000000004</v>
      </c>
      <c r="G562" s="92">
        <f t="shared" si="62"/>
        <v>91.677599999999998</v>
      </c>
      <c r="H562" s="124">
        <f t="shared" si="66"/>
        <v>127.33</v>
      </c>
      <c r="I562" s="124">
        <f t="shared" si="67"/>
        <v>140.06300000000002</v>
      </c>
      <c r="J562" s="125">
        <f t="shared" si="68"/>
        <v>190.995</v>
      </c>
    </row>
    <row r="563" spans="1:10" ht="14.95" customHeight="1">
      <c r="A563" s="7" t="s">
        <v>1756</v>
      </c>
      <c r="B563" s="92">
        <f t="shared" si="60"/>
        <v>65.488499999999988</v>
      </c>
      <c r="C563" s="92">
        <f>('Цены на металл '!AA562*'Цены на металл '!$B$4*1.4)+'Цены на металл '!AB562</f>
        <v>72.764999999999986</v>
      </c>
      <c r="D563" s="92">
        <f t="shared" si="61"/>
        <v>80.041499999999985</v>
      </c>
      <c r="E563" s="92">
        <f t="shared" si="62"/>
        <v>87.317999999999984</v>
      </c>
      <c r="F563" s="92">
        <f t="shared" si="62"/>
        <v>96.049799999999976</v>
      </c>
      <c r="G563" s="92">
        <f t="shared" si="62"/>
        <v>104.78159999999998</v>
      </c>
      <c r="H563" s="124">
        <f t="shared" si="66"/>
        <v>145.52999999999997</v>
      </c>
      <c r="I563" s="124">
        <f t="shared" si="67"/>
        <v>160.08299999999997</v>
      </c>
      <c r="J563" s="125">
        <f t="shared" si="68"/>
        <v>218.29499999999996</v>
      </c>
    </row>
    <row r="564" spans="1:10" ht="14.95" customHeight="1">
      <c r="A564" s="7" t="s">
        <v>1757</v>
      </c>
      <c r="B564" s="92">
        <f t="shared" si="60"/>
        <v>73.678500000000014</v>
      </c>
      <c r="C564" s="92">
        <f>('Цены на металл '!AA563*'Цены на металл '!$B$4*1.4)+'Цены на металл '!AB563</f>
        <v>81.865000000000009</v>
      </c>
      <c r="D564" s="92">
        <f t="shared" si="61"/>
        <v>90.051500000000019</v>
      </c>
      <c r="E564" s="92">
        <f t="shared" si="62"/>
        <v>98.238000000000014</v>
      </c>
      <c r="F564" s="92">
        <f t="shared" si="62"/>
        <v>108.06180000000002</v>
      </c>
      <c r="G564" s="92">
        <f t="shared" si="62"/>
        <v>117.88560000000001</v>
      </c>
      <c r="H564" s="124">
        <f t="shared" si="66"/>
        <v>163.73000000000002</v>
      </c>
      <c r="I564" s="124">
        <f t="shared" si="67"/>
        <v>180.10300000000004</v>
      </c>
      <c r="J564" s="125">
        <f t="shared" si="68"/>
        <v>245.59500000000003</v>
      </c>
    </row>
    <row r="565" spans="1:10" ht="14.95" customHeight="1">
      <c r="A565" s="7" t="s">
        <v>1758</v>
      </c>
      <c r="B565" s="92">
        <f t="shared" si="60"/>
        <v>81.868500000000012</v>
      </c>
      <c r="C565" s="92">
        <f>('Цены на металл '!AA564*'Цены на металл '!$B$4*1.4)+'Цены на металл '!AB564</f>
        <v>90.965000000000003</v>
      </c>
      <c r="D565" s="92">
        <f t="shared" si="61"/>
        <v>100.06150000000001</v>
      </c>
      <c r="E565" s="92">
        <f t="shared" si="62"/>
        <v>109.158</v>
      </c>
      <c r="F565" s="92">
        <f t="shared" si="62"/>
        <v>120.07380000000001</v>
      </c>
      <c r="G565" s="92">
        <f t="shared" si="62"/>
        <v>130.9896</v>
      </c>
      <c r="H565" s="124">
        <f t="shared" si="66"/>
        <v>181.93</v>
      </c>
      <c r="I565" s="124">
        <f t="shared" si="67"/>
        <v>200.12300000000002</v>
      </c>
      <c r="J565" s="125">
        <f t="shared" si="68"/>
        <v>272.89499999999998</v>
      </c>
    </row>
    <row r="566" spans="1:10" ht="14.95" customHeight="1">
      <c r="A566" s="7" t="s">
        <v>1759</v>
      </c>
      <c r="B566" s="92">
        <f t="shared" si="60"/>
        <v>90.058499999999995</v>
      </c>
      <c r="C566" s="92">
        <f>('Цены на металл '!AA565*'Цены на металл '!$B$4*1.4)+'Цены на металл '!AB565</f>
        <v>100.065</v>
      </c>
      <c r="D566" s="92">
        <f t="shared" si="61"/>
        <v>110.0715</v>
      </c>
      <c r="E566" s="92">
        <f t="shared" si="62"/>
        <v>120.07799999999999</v>
      </c>
      <c r="F566" s="92">
        <f t="shared" si="62"/>
        <v>132.08580000000001</v>
      </c>
      <c r="G566" s="92">
        <f t="shared" si="62"/>
        <v>144.09359999999998</v>
      </c>
      <c r="H566" s="124">
        <f t="shared" si="66"/>
        <v>200.13</v>
      </c>
      <c r="I566" s="124">
        <f t="shared" si="67"/>
        <v>220.143</v>
      </c>
      <c r="J566" s="125">
        <f t="shared" si="68"/>
        <v>300.19499999999999</v>
      </c>
    </row>
    <row r="567" spans="1:10" ht="14.95" customHeight="1">
      <c r="A567" s="9" t="s">
        <v>1762</v>
      </c>
      <c r="B567" s="92">
        <f t="shared" si="60"/>
        <v>0</v>
      </c>
      <c r="C567" s="92">
        <f>('Цены на металл '!AA566*'Цены на металл '!$B$4*1.4)+'Цены на металл '!AB566</f>
        <v>0</v>
      </c>
      <c r="D567" s="92">
        <f t="shared" si="61"/>
        <v>0</v>
      </c>
      <c r="E567" s="92">
        <f t="shared" si="62"/>
        <v>0</v>
      </c>
      <c r="F567" s="92">
        <f t="shared" si="62"/>
        <v>0</v>
      </c>
      <c r="G567" s="92">
        <f t="shared" si="62"/>
        <v>0</v>
      </c>
      <c r="H567" s="124">
        <f t="shared" si="66"/>
        <v>0</v>
      </c>
      <c r="I567" s="124">
        <f t="shared" si="67"/>
        <v>0</v>
      </c>
      <c r="J567" s="125">
        <f t="shared" si="68"/>
        <v>0</v>
      </c>
    </row>
    <row r="568" spans="1:10" ht="14.95" customHeight="1">
      <c r="A568" s="7" t="s">
        <v>1814</v>
      </c>
      <c r="B568" s="92">
        <f t="shared" si="60"/>
        <v>131.50530000000001</v>
      </c>
      <c r="C568" s="92">
        <f>('Цены на металл '!AA567*'Цены на металл '!$B$4*1.4)+'Цены на металл '!AB567</f>
        <v>146.11699999999999</v>
      </c>
      <c r="D568" s="92">
        <f t="shared" si="61"/>
        <v>160.7287</v>
      </c>
      <c r="E568" s="92">
        <f t="shared" si="62"/>
        <v>175.34039999999999</v>
      </c>
      <c r="F568" s="92">
        <f t="shared" si="62"/>
        <v>192.87443999999999</v>
      </c>
      <c r="G568" s="92">
        <f t="shared" si="62"/>
        <v>210.40847999999997</v>
      </c>
      <c r="H568" s="124">
        <f t="shared" si="66"/>
        <v>292.23399999999998</v>
      </c>
      <c r="I568" s="124">
        <f t="shared" si="67"/>
        <v>321.45740000000001</v>
      </c>
      <c r="J568" s="125">
        <f t="shared" si="68"/>
        <v>438.351</v>
      </c>
    </row>
    <row r="569" spans="1:10" ht="14.95" customHeight="1">
      <c r="A569" s="7" t="s">
        <v>1763</v>
      </c>
      <c r="B569" s="92">
        <f t="shared" si="60"/>
        <v>128.80260000000001</v>
      </c>
      <c r="C569" s="92">
        <f>('Цены на металл '!AA568*'Цены на металл '!$B$4*1.4)+'Цены на металл '!AB568</f>
        <v>143.114</v>
      </c>
      <c r="D569" s="92">
        <f t="shared" si="61"/>
        <v>157.42540000000002</v>
      </c>
      <c r="E569" s="92">
        <f t="shared" si="62"/>
        <v>171.73679999999999</v>
      </c>
      <c r="F569" s="92">
        <f t="shared" si="62"/>
        <v>188.91048000000004</v>
      </c>
      <c r="G569" s="92">
        <f t="shared" si="62"/>
        <v>206.08415999999997</v>
      </c>
      <c r="H569" s="124">
        <f t="shared" si="66"/>
        <v>286.22800000000001</v>
      </c>
      <c r="I569" s="124">
        <f t="shared" si="67"/>
        <v>314.85080000000005</v>
      </c>
      <c r="J569" s="125">
        <f t="shared" si="68"/>
        <v>429.34199999999998</v>
      </c>
    </row>
    <row r="570" spans="1:10" ht="14.95" customHeight="1">
      <c r="A570" s="7" t="s">
        <v>1764</v>
      </c>
      <c r="B570" s="92">
        <f t="shared" si="60"/>
        <v>133.63470000000001</v>
      </c>
      <c r="C570" s="92">
        <f>('Цены на металл '!AA569*'Цены на металл '!$B$4*1.4)+'Цены на металл '!AB569</f>
        <v>148.483</v>
      </c>
      <c r="D570" s="92">
        <f t="shared" si="61"/>
        <v>163.33130000000003</v>
      </c>
      <c r="E570" s="92">
        <f t="shared" si="62"/>
        <v>178.17959999999999</v>
      </c>
      <c r="F570" s="92">
        <f t="shared" si="62"/>
        <v>195.99756000000002</v>
      </c>
      <c r="G570" s="92">
        <f t="shared" si="62"/>
        <v>213.81551999999999</v>
      </c>
      <c r="H570" s="124">
        <f t="shared" si="66"/>
        <v>296.96600000000001</v>
      </c>
      <c r="I570" s="124">
        <f t="shared" si="67"/>
        <v>326.66260000000005</v>
      </c>
      <c r="J570" s="125">
        <f t="shared" si="68"/>
        <v>445.44900000000001</v>
      </c>
    </row>
    <row r="571" spans="1:10" ht="14.95" customHeight="1">
      <c r="A571" s="7" t="s">
        <v>1765</v>
      </c>
      <c r="B571" s="92">
        <f t="shared" si="60"/>
        <v>133.06140000000002</v>
      </c>
      <c r="C571" s="92">
        <f>('Цены на металл '!AA570*'Цены на металл '!$B$4*1.4)+'Цены на металл '!AB570</f>
        <v>147.846</v>
      </c>
      <c r="D571" s="92">
        <f t="shared" si="61"/>
        <v>162.63060000000002</v>
      </c>
      <c r="E571" s="92">
        <f t="shared" si="62"/>
        <v>177.4152</v>
      </c>
      <c r="F571" s="92">
        <f t="shared" si="62"/>
        <v>195.15672000000001</v>
      </c>
      <c r="G571" s="92">
        <f t="shared" si="62"/>
        <v>212.89823999999999</v>
      </c>
      <c r="H571" s="124">
        <f t="shared" si="66"/>
        <v>295.69200000000001</v>
      </c>
      <c r="I571" s="124">
        <f t="shared" si="67"/>
        <v>325.26120000000003</v>
      </c>
      <c r="J571" s="125">
        <f t="shared" si="68"/>
        <v>443.53800000000001</v>
      </c>
    </row>
    <row r="572" spans="1:10" ht="14.95" customHeight="1">
      <c r="A572" s="7" t="s">
        <v>1766</v>
      </c>
      <c r="B572" s="92">
        <f t="shared" si="60"/>
        <v>140.59619999999998</v>
      </c>
      <c r="C572" s="92">
        <f>('Цены на металл '!AA571*'Цены на металл '!$B$4*1.4)+'Цены на металл '!AB571</f>
        <v>156.21799999999999</v>
      </c>
      <c r="D572" s="92">
        <f t="shared" si="61"/>
        <v>171.8398</v>
      </c>
      <c r="E572" s="92">
        <f t="shared" si="62"/>
        <v>187.46159999999998</v>
      </c>
      <c r="F572" s="92">
        <f t="shared" si="62"/>
        <v>206.20775999999998</v>
      </c>
      <c r="G572" s="92">
        <f t="shared" si="62"/>
        <v>224.95391999999995</v>
      </c>
      <c r="H572" s="124">
        <f t="shared" si="66"/>
        <v>312.43599999999998</v>
      </c>
      <c r="I572" s="124">
        <f t="shared" si="67"/>
        <v>343.67959999999999</v>
      </c>
      <c r="J572" s="125">
        <f t="shared" si="68"/>
        <v>468.654</v>
      </c>
    </row>
    <row r="573" spans="1:10" ht="14.95" customHeight="1">
      <c r="A573" s="7" t="s">
        <v>1767</v>
      </c>
      <c r="B573" s="92">
        <f t="shared" si="60"/>
        <v>140.84189999999998</v>
      </c>
      <c r="C573" s="92">
        <f>('Цены на металл '!AA572*'Цены на металл '!$B$4*1.4)+'Цены на металл '!AB572</f>
        <v>156.49099999999999</v>
      </c>
      <c r="D573" s="92">
        <f t="shared" si="61"/>
        <v>172.14009999999999</v>
      </c>
      <c r="E573" s="92">
        <f t="shared" si="62"/>
        <v>187.78919999999997</v>
      </c>
      <c r="F573" s="92">
        <f t="shared" si="62"/>
        <v>206.56811999999999</v>
      </c>
      <c r="G573" s="92">
        <f t="shared" si="62"/>
        <v>225.34703999999996</v>
      </c>
      <c r="H573" s="124">
        <f t="shared" si="66"/>
        <v>312.98199999999997</v>
      </c>
      <c r="I573" s="124">
        <f t="shared" si="67"/>
        <v>344.28019999999998</v>
      </c>
      <c r="J573" s="125">
        <f t="shared" si="68"/>
        <v>469.47299999999996</v>
      </c>
    </row>
    <row r="574" spans="1:10" ht="14.95" customHeight="1">
      <c r="A574" s="7" t="s">
        <v>1768</v>
      </c>
      <c r="B574" s="92">
        <f t="shared" si="60"/>
        <v>139.6953</v>
      </c>
      <c r="C574" s="92">
        <f>('Цены на металл '!AA573*'Цены на металл '!$B$4*1.4)+'Цены на металл '!AB573</f>
        <v>155.21699999999998</v>
      </c>
      <c r="D574" s="92">
        <f t="shared" si="61"/>
        <v>170.73869999999999</v>
      </c>
      <c r="E574" s="92">
        <f t="shared" si="62"/>
        <v>186.26039999999998</v>
      </c>
      <c r="F574" s="92">
        <f t="shared" si="62"/>
        <v>204.88643999999999</v>
      </c>
      <c r="G574" s="92">
        <f t="shared" si="62"/>
        <v>223.51247999999995</v>
      </c>
      <c r="H574" s="124">
        <f t="shared" si="66"/>
        <v>310.43399999999997</v>
      </c>
      <c r="I574" s="124">
        <f t="shared" si="67"/>
        <v>341.47739999999999</v>
      </c>
      <c r="J574" s="125">
        <f t="shared" si="68"/>
        <v>465.65099999999995</v>
      </c>
    </row>
    <row r="575" spans="1:10" ht="14.95" customHeight="1">
      <c r="A575" s="7" t="s">
        <v>1769</v>
      </c>
      <c r="B575" s="92">
        <f t="shared" si="60"/>
        <v>149.19569999999999</v>
      </c>
      <c r="C575" s="92">
        <f>('Цены на металл '!AA574*'Цены на металл '!$B$4*1.4)+'Цены на металл '!AB574</f>
        <v>165.773</v>
      </c>
      <c r="D575" s="92">
        <f t="shared" si="61"/>
        <v>182.3503</v>
      </c>
      <c r="E575" s="92">
        <f t="shared" si="62"/>
        <v>198.92759999999998</v>
      </c>
      <c r="F575" s="92">
        <f t="shared" si="62"/>
        <v>218.82035999999999</v>
      </c>
      <c r="G575" s="92">
        <f t="shared" si="62"/>
        <v>238.71311999999998</v>
      </c>
      <c r="H575" s="124">
        <f t="shared" si="66"/>
        <v>331.54599999999999</v>
      </c>
      <c r="I575" s="124">
        <f t="shared" si="67"/>
        <v>364.70060000000001</v>
      </c>
      <c r="J575" s="125">
        <f t="shared" si="68"/>
        <v>497.31899999999996</v>
      </c>
    </row>
    <row r="576" spans="1:10" ht="14.95" customHeight="1">
      <c r="A576" s="7" t="s">
        <v>1770</v>
      </c>
      <c r="B576" s="92">
        <f t="shared" si="60"/>
        <v>148.29480000000001</v>
      </c>
      <c r="C576" s="92">
        <f>('Цены на металл '!AA575*'Цены на металл '!$B$4*1.4)+'Цены на металл '!AB575</f>
        <v>164.77199999999999</v>
      </c>
      <c r="D576" s="92">
        <f t="shared" si="61"/>
        <v>181.2492</v>
      </c>
      <c r="E576" s="92">
        <f t="shared" si="62"/>
        <v>197.72639999999998</v>
      </c>
      <c r="F576" s="92">
        <f t="shared" si="62"/>
        <v>217.49904000000001</v>
      </c>
      <c r="G576" s="92">
        <f t="shared" si="62"/>
        <v>237.27167999999998</v>
      </c>
      <c r="H576" s="124">
        <f t="shared" si="66"/>
        <v>329.54399999999998</v>
      </c>
      <c r="I576" s="124">
        <f t="shared" si="67"/>
        <v>362.4984</v>
      </c>
      <c r="J576" s="125">
        <f t="shared" si="68"/>
        <v>494.31599999999997</v>
      </c>
    </row>
    <row r="577" spans="1:10" ht="14.95" customHeight="1">
      <c r="A577" s="7" t="s">
        <v>1771</v>
      </c>
      <c r="B577" s="92">
        <f t="shared" si="60"/>
        <v>155.33820000000003</v>
      </c>
      <c r="C577" s="92">
        <f>('Цены на металл '!AA576*'Цены на металл '!$B$4*1.4)+'Цены на металл '!AB576</f>
        <v>172.59800000000001</v>
      </c>
      <c r="D577" s="92">
        <f t="shared" si="61"/>
        <v>189.85780000000003</v>
      </c>
      <c r="E577" s="92">
        <f t="shared" si="62"/>
        <v>207.11760000000001</v>
      </c>
      <c r="F577" s="92">
        <f t="shared" si="62"/>
        <v>227.82936000000004</v>
      </c>
      <c r="G577" s="92">
        <f t="shared" si="62"/>
        <v>248.54112000000001</v>
      </c>
      <c r="H577" s="124">
        <f t="shared" si="66"/>
        <v>345.19600000000003</v>
      </c>
      <c r="I577" s="124">
        <f t="shared" si="67"/>
        <v>379.71560000000005</v>
      </c>
      <c r="J577" s="125">
        <f t="shared" si="68"/>
        <v>517.7940000000001</v>
      </c>
    </row>
    <row r="578" spans="1:10" ht="14.95" customHeight="1">
      <c r="A578" s="7" t="s">
        <v>1772</v>
      </c>
      <c r="B578" s="92">
        <f t="shared" si="60"/>
        <v>156.0753</v>
      </c>
      <c r="C578" s="92">
        <f>('Цены на металл '!AA577*'Цены на металл '!$B$4*1.4)+'Цены на металл '!AB577</f>
        <v>173.417</v>
      </c>
      <c r="D578" s="92">
        <f t="shared" si="61"/>
        <v>190.7587</v>
      </c>
      <c r="E578" s="92">
        <f t="shared" si="62"/>
        <v>208.10040000000001</v>
      </c>
      <c r="F578" s="92">
        <f t="shared" si="62"/>
        <v>228.91043999999999</v>
      </c>
      <c r="G578" s="92">
        <f t="shared" si="62"/>
        <v>249.72048000000001</v>
      </c>
      <c r="H578" s="124">
        <f t="shared" si="66"/>
        <v>346.834</v>
      </c>
      <c r="I578" s="124">
        <f t="shared" si="67"/>
        <v>381.51740000000001</v>
      </c>
      <c r="J578" s="125">
        <f t="shared" si="68"/>
        <v>520.25099999999998</v>
      </c>
    </row>
    <row r="579" spans="1:10" ht="14.95" customHeight="1">
      <c r="A579" s="7" t="s">
        <v>1773</v>
      </c>
      <c r="B579" s="92">
        <f t="shared" si="60"/>
        <v>155.33820000000003</v>
      </c>
      <c r="C579" s="92">
        <f>('Цены на металл '!AA578*'Цены на металл '!$B$4*1.4)+'Цены на металл '!AB578</f>
        <v>172.59800000000001</v>
      </c>
      <c r="D579" s="92">
        <f t="shared" si="61"/>
        <v>189.85780000000003</v>
      </c>
      <c r="E579" s="92">
        <f t="shared" si="62"/>
        <v>207.11760000000001</v>
      </c>
      <c r="F579" s="92">
        <f t="shared" si="62"/>
        <v>227.82936000000004</v>
      </c>
      <c r="G579" s="92">
        <f t="shared" si="62"/>
        <v>248.54112000000001</v>
      </c>
      <c r="H579" s="124">
        <f t="shared" si="66"/>
        <v>345.19600000000003</v>
      </c>
      <c r="I579" s="124">
        <f t="shared" si="67"/>
        <v>379.71560000000005</v>
      </c>
      <c r="J579" s="125">
        <f t="shared" si="68"/>
        <v>517.7940000000001</v>
      </c>
    </row>
    <row r="580" spans="1:10" ht="14.95" customHeight="1">
      <c r="A580" s="7" t="s">
        <v>1774</v>
      </c>
      <c r="B580" s="92">
        <f t="shared" si="60"/>
        <v>165.49380000000002</v>
      </c>
      <c r="C580" s="92">
        <f>('Цены на металл '!AA579*'Цены на металл '!$B$4*1.4)+'Цены на металл '!AB579</f>
        <v>183.88200000000001</v>
      </c>
      <c r="D580" s="92">
        <f t="shared" si="61"/>
        <v>202.27020000000002</v>
      </c>
      <c r="E580" s="92">
        <f t="shared" si="62"/>
        <v>220.6584</v>
      </c>
      <c r="F580" s="92">
        <f t="shared" si="62"/>
        <v>242.72424000000001</v>
      </c>
      <c r="G580" s="92">
        <f t="shared" si="62"/>
        <v>264.79007999999999</v>
      </c>
      <c r="H580" s="124">
        <f t="shared" si="66"/>
        <v>367.76400000000001</v>
      </c>
      <c r="I580" s="124">
        <f t="shared" si="67"/>
        <v>404.54040000000003</v>
      </c>
      <c r="J580" s="125">
        <f t="shared" si="68"/>
        <v>551.64599999999996</v>
      </c>
    </row>
    <row r="581" spans="1:10" ht="14.95" customHeight="1">
      <c r="A581" s="7" t="s">
        <v>1775</v>
      </c>
      <c r="B581" s="92">
        <f t="shared" ref="B581:B620" si="69">C581*0.9</f>
        <v>173.52</v>
      </c>
      <c r="C581" s="92">
        <f>('Цены на металл '!AA580*'Цены на металл '!$B$4*1.4)+'Цены на металл '!AB580</f>
        <v>192.8</v>
      </c>
      <c r="D581" s="92">
        <f t="shared" ref="D581:D620" si="70">C581*1.1</f>
        <v>212.08000000000004</v>
      </c>
      <c r="E581" s="92">
        <f t="shared" ref="E581:G620" si="71">C581*1.2</f>
        <v>231.36</v>
      </c>
      <c r="F581" s="92">
        <f t="shared" si="71"/>
        <v>254.49600000000004</v>
      </c>
      <c r="G581" s="92">
        <f t="shared" si="71"/>
        <v>277.63200000000001</v>
      </c>
      <c r="H581" s="124">
        <f t="shared" si="66"/>
        <v>385.6</v>
      </c>
      <c r="I581" s="124">
        <f t="shared" si="67"/>
        <v>424.16000000000008</v>
      </c>
      <c r="J581" s="125">
        <f t="shared" si="68"/>
        <v>578.40000000000009</v>
      </c>
    </row>
    <row r="582" spans="1:10" ht="14.95" customHeight="1">
      <c r="A582" s="7" t="s">
        <v>1776</v>
      </c>
      <c r="B582" s="92">
        <f t="shared" si="69"/>
        <v>134.61750000000001</v>
      </c>
      <c r="C582" s="92">
        <f>('Цены на металл '!AA581*'Цены на металл '!$B$4*1.4)+'Цены на металл '!AB581</f>
        <v>149.57499999999999</v>
      </c>
      <c r="D582" s="92">
        <f t="shared" si="70"/>
        <v>164.5325</v>
      </c>
      <c r="E582" s="92">
        <f t="shared" si="71"/>
        <v>179.48999999999998</v>
      </c>
      <c r="F582" s="92">
        <f t="shared" si="71"/>
        <v>197.43899999999999</v>
      </c>
      <c r="G582" s="92">
        <f t="shared" si="71"/>
        <v>215.38799999999998</v>
      </c>
      <c r="H582" s="124">
        <f t="shared" si="66"/>
        <v>299.14999999999998</v>
      </c>
      <c r="I582" s="124">
        <f t="shared" si="67"/>
        <v>329.065</v>
      </c>
      <c r="J582" s="125">
        <f t="shared" si="68"/>
        <v>448.72499999999997</v>
      </c>
    </row>
    <row r="583" spans="1:10" ht="14.95" customHeight="1">
      <c r="A583" s="7" t="s">
        <v>1777</v>
      </c>
      <c r="B583" s="92">
        <f t="shared" si="69"/>
        <v>138.38489999999999</v>
      </c>
      <c r="C583" s="92">
        <f>('Цены на металл '!AA582*'Цены на металл '!$B$4*1.4)+'Цены на металл '!AB582</f>
        <v>153.761</v>
      </c>
      <c r="D583" s="92">
        <f t="shared" si="70"/>
        <v>169.1371</v>
      </c>
      <c r="E583" s="92">
        <f t="shared" si="71"/>
        <v>184.51319999999998</v>
      </c>
      <c r="F583" s="92">
        <f t="shared" si="71"/>
        <v>202.96451999999999</v>
      </c>
      <c r="G583" s="92">
        <f t="shared" si="71"/>
        <v>221.41583999999997</v>
      </c>
      <c r="H583" s="124">
        <f t="shared" si="66"/>
        <v>307.52199999999999</v>
      </c>
      <c r="I583" s="124">
        <f t="shared" si="67"/>
        <v>338.27420000000001</v>
      </c>
      <c r="J583" s="125">
        <f t="shared" si="68"/>
        <v>461.28300000000002</v>
      </c>
    </row>
    <row r="584" spans="1:10" ht="14.95" customHeight="1">
      <c r="A584" s="7" t="s">
        <v>1778</v>
      </c>
      <c r="B584" s="92">
        <f t="shared" si="69"/>
        <v>138.95820000000001</v>
      </c>
      <c r="C584" s="92">
        <f>('Цены на металл '!AA583*'Цены на металл '!$B$4*1.4)+'Цены на металл '!AB583</f>
        <v>154.398</v>
      </c>
      <c r="D584" s="92">
        <f t="shared" si="70"/>
        <v>169.83780000000002</v>
      </c>
      <c r="E584" s="92">
        <f t="shared" si="71"/>
        <v>185.27759999999998</v>
      </c>
      <c r="F584" s="92">
        <f t="shared" si="71"/>
        <v>203.80536000000001</v>
      </c>
      <c r="G584" s="92">
        <f t="shared" si="71"/>
        <v>222.33311999999998</v>
      </c>
      <c r="H584" s="124">
        <f t="shared" si="66"/>
        <v>308.79599999999999</v>
      </c>
      <c r="I584" s="124">
        <f t="shared" si="67"/>
        <v>339.67560000000003</v>
      </c>
      <c r="J584" s="125">
        <f t="shared" si="68"/>
        <v>463.19399999999996</v>
      </c>
    </row>
    <row r="585" spans="1:10" ht="14.95" customHeight="1">
      <c r="A585" s="7" t="s">
        <v>1779</v>
      </c>
      <c r="B585" s="92">
        <f t="shared" si="69"/>
        <v>147.47579999999999</v>
      </c>
      <c r="C585" s="92">
        <f>('Цены на металл '!AA584*'Цены на металл '!$B$4*1.4)+'Цены на металл '!AB584</f>
        <v>163.86199999999999</v>
      </c>
      <c r="D585" s="92">
        <f t="shared" si="70"/>
        <v>180.2482</v>
      </c>
      <c r="E585" s="92">
        <f t="shared" si="71"/>
        <v>196.6344</v>
      </c>
      <c r="F585" s="92">
        <f t="shared" si="71"/>
        <v>216.29783999999998</v>
      </c>
      <c r="G585" s="92">
        <f t="shared" si="71"/>
        <v>235.96127999999999</v>
      </c>
      <c r="H585" s="124">
        <f t="shared" si="66"/>
        <v>327.72399999999999</v>
      </c>
      <c r="I585" s="124">
        <f t="shared" si="67"/>
        <v>360.49639999999999</v>
      </c>
      <c r="J585" s="125">
        <f t="shared" si="68"/>
        <v>491.58600000000001</v>
      </c>
    </row>
    <row r="586" spans="1:10" ht="14.95" customHeight="1">
      <c r="A586" s="7" t="s">
        <v>1780</v>
      </c>
      <c r="B586" s="92">
        <f t="shared" si="69"/>
        <v>148.95000000000002</v>
      </c>
      <c r="C586" s="92">
        <f>('Цены на металл '!AA585*'Цены на металл '!$B$4*1.4)+'Цены на металл '!AB585</f>
        <v>165.5</v>
      </c>
      <c r="D586" s="92">
        <f t="shared" si="70"/>
        <v>182.05</v>
      </c>
      <c r="E586" s="92">
        <f t="shared" si="71"/>
        <v>198.6</v>
      </c>
      <c r="F586" s="92">
        <f t="shared" si="71"/>
        <v>218.46</v>
      </c>
      <c r="G586" s="92">
        <f t="shared" si="71"/>
        <v>238.32</v>
      </c>
      <c r="H586" s="124">
        <f t="shared" si="66"/>
        <v>331</v>
      </c>
      <c r="I586" s="124">
        <f t="shared" si="67"/>
        <v>364.1</v>
      </c>
      <c r="J586" s="125">
        <f t="shared" si="68"/>
        <v>496.5</v>
      </c>
    </row>
    <row r="587" spans="1:10" ht="14.95" customHeight="1">
      <c r="A587" s="7" t="s">
        <v>1781</v>
      </c>
      <c r="B587" s="92">
        <f t="shared" si="69"/>
        <v>147.06629999999998</v>
      </c>
      <c r="C587" s="92">
        <f>('Цены на металл '!AA586*'Цены на металл '!$B$4*1.4)+'Цены на металл '!AB586</f>
        <v>163.40699999999998</v>
      </c>
      <c r="D587" s="92">
        <f t="shared" si="70"/>
        <v>179.74770000000001</v>
      </c>
      <c r="E587" s="92">
        <f t="shared" si="71"/>
        <v>196.08839999999998</v>
      </c>
      <c r="F587" s="92">
        <f t="shared" si="71"/>
        <v>215.69723999999999</v>
      </c>
      <c r="G587" s="92">
        <f t="shared" si="71"/>
        <v>235.30607999999995</v>
      </c>
      <c r="H587" s="124">
        <f t="shared" si="66"/>
        <v>326.81399999999996</v>
      </c>
      <c r="I587" s="124">
        <f t="shared" si="67"/>
        <v>359.49540000000002</v>
      </c>
      <c r="J587" s="125">
        <f t="shared" si="68"/>
        <v>490.22099999999995</v>
      </c>
    </row>
    <row r="588" spans="1:10" ht="14.95" customHeight="1">
      <c r="A588" s="7" t="s">
        <v>1782</v>
      </c>
      <c r="B588" s="92">
        <f t="shared" si="69"/>
        <v>156.321</v>
      </c>
      <c r="C588" s="92">
        <f>('Цены на металл '!AA587*'Цены на металл '!$B$4*1.4)+'Цены на металл '!AB587</f>
        <v>173.69</v>
      </c>
      <c r="D588" s="92">
        <f t="shared" si="70"/>
        <v>191.05900000000003</v>
      </c>
      <c r="E588" s="92">
        <f t="shared" si="71"/>
        <v>208.428</v>
      </c>
      <c r="F588" s="92">
        <f t="shared" si="71"/>
        <v>229.27080000000004</v>
      </c>
      <c r="G588" s="92">
        <f t="shared" si="71"/>
        <v>250.11359999999999</v>
      </c>
      <c r="H588" s="124">
        <f t="shared" ref="H588:H620" si="72">C588*2</f>
        <v>347.38</v>
      </c>
      <c r="I588" s="124">
        <f t="shared" ref="I588:I620" si="73">D588*2</f>
        <v>382.11800000000005</v>
      </c>
      <c r="J588" s="125">
        <f t="shared" ref="J588:J620" si="74">C588*3</f>
        <v>521.06999999999994</v>
      </c>
    </row>
    <row r="589" spans="1:10" ht="14.95" customHeight="1">
      <c r="A589" s="7" t="s">
        <v>1783</v>
      </c>
      <c r="B589" s="92">
        <f t="shared" si="69"/>
        <v>155.74770000000001</v>
      </c>
      <c r="C589" s="92">
        <f>('Цены на металл '!AA588*'Цены на металл '!$B$4*1.4)+'Цены на металл '!AB588</f>
        <v>173.053</v>
      </c>
      <c r="D589" s="92">
        <f t="shared" si="70"/>
        <v>190.35830000000001</v>
      </c>
      <c r="E589" s="92">
        <f t="shared" si="71"/>
        <v>207.6636</v>
      </c>
      <c r="F589" s="92">
        <f t="shared" si="71"/>
        <v>228.42996000000002</v>
      </c>
      <c r="G589" s="92">
        <f t="shared" si="71"/>
        <v>249.19631999999999</v>
      </c>
      <c r="H589" s="124">
        <f t="shared" si="72"/>
        <v>346.10599999999999</v>
      </c>
      <c r="I589" s="124">
        <f t="shared" si="73"/>
        <v>380.71660000000003</v>
      </c>
      <c r="J589" s="125">
        <f t="shared" si="74"/>
        <v>519.15899999999999</v>
      </c>
    </row>
    <row r="590" spans="1:10" ht="14.95" customHeight="1">
      <c r="A590" s="7" t="s">
        <v>1784</v>
      </c>
      <c r="B590" s="92">
        <f t="shared" si="69"/>
        <v>158.77799999999999</v>
      </c>
      <c r="C590" s="92">
        <f>('Цены на металл '!AA589*'Цены на металл '!$B$4*1.4)+'Цены на металл '!AB589</f>
        <v>176.42</v>
      </c>
      <c r="D590" s="92">
        <f t="shared" si="70"/>
        <v>194.06200000000001</v>
      </c>
      <c r="E590" s="92">
        <f t="shared" si="71"/>
        <v>211.70399999999998</v>
      </c>
      <c r="F590" s="92">
        <f t="shared" si="71"/>
        <v>232.87440000000001</v>
      </c>
      <c r="G590" s="92">
        <f t="shared" si="71"/>
        <v>254.04479999999995</v>
      </c>
      <c r="H590" s="124">
        <f t="shared" si="72"/>
        <v>352.84</v>
      </c>
      <c r="I590" s="124">
        <f t="shared" si="73"/>
        <v>388.12400000000002</v>
      </c>
      <c r="J590" s="125">
        <f t="shared" si="74"/>
        <v>529.26</v>
      </c>
    </row>
    <row r="591" spans="1:10" ht="14.95" customHeight="1">
      <c r="A591" s="7" t="s">
        <v>1785</v>
      </c>
      <c r="B591" s="92">
        <f t="shared" si="69"/>
        <v>161.23500000000001</v>
      </c>
      <c r="C591" s="92">
        <f>('Цены на металл '!AA590*'Цены на металл '!$B$4*1.4)+'Цены на металл '!AB590</f>
        <v>179.15</v>
      </c>
      <c r="D591" s="92">
        <f t="shared" si="70"/>
        <v>197.06500000000003</v>
      </c>
      <c r="E591" s="92">
        <f t="shared" si="71"/>
        <v>214.98</v>
      </c>
      <c r="F591" s="92">
        <f t="shared" si="71"/>
        <v>236.47800000000001</v>
      </c>
      <c r="G591" s="92">
        <f t="shared" si="71"/>
        <v>257.976</v>
      </c>
      <c r="H591" s="124">
        <f t="shared" si="72"/>
        <v>358.3</v>
      </c>
      <c r="I591" s="124">
        <f t="shared" si="73"/>
        <v>394.13000000000005</v>
      </c>
      <c r="J591" s="125">
        <f t="shared" si="74"/>
        <v>537.45000000000005</v>
      </c>
    </row>
    <row r="592" spans="1:10" ht="14.95" customHeight="1">
      <c r="A592" s="7" t="s">
        <v>1786</v>
      </c>
      <c r="B592" s="92">
        <f t="shared" si="69"/>
        <v>162.87299999999999</v>
      </c>
      <c r="C592" s="92">
        <f>('Цены на металл '!AA591*'Цены на металл '!$B$4*1.4)+'Цены на металл '!AB591</f>
        <v>180.97</v>
      </c>
      <c r="D592" s="92">
        <f t="shared" si="70"/>
        <v>199.06700000000001</v>
      </c>
      <c r="E592" s="92">
        <f t="shared" si="71"/>
        <v>217.16399999999999</v>
      </c>
      <c r="F592" s="92">
        <f t="shared" si="71"/>
        <v>238.88040000000001</v>
      </c>
      <c r="G592" s="92">
        <f t="shared" si="71"/>
        <v>260.59679999999997</v>
      </c>
      <c r="H592" s="124">
        <f t="shared" si="72"/>
        <v>361.94</v>
      </c>
      <c r="I592" s="124">
        <f t="shared" si="73"/>
        <v>398.13400000000001</v>
      </c>
      <c r="J592" s="125">
        <f t="shared" si="74"/>
        <v>542.91</v>
      </c>
    </row>
    <row r="593" spans="1:10" ht="14.95" customHeight="1">
      <c r="A593" s="7" t="s">
        <v>1787</v>
      </c>
      <c r="B593" s="92">
        <f t="shared" si="69"/>
        <v>164.511</v>
      </c>
      <c r="C593" s="92">
        <f>('Цены на металл '!AA592*'Цены на металл '!$B$4*1.4)+'Цены на металл '!AB592</f>
        <v>182.79</v>
      </c>
      <c r="D593" s="92">
        <f t="shared" si="70"/>
        <v>201.06900000000002</v>
      </c>
      <c r="E593" s="92">
        <f t="shared" si="71"/>
        <v>219.34799999999998</v>
      </c>
      <c r="F593" s="92">
        <f t="shared" si="71"/>
        <v>241.28280000000001</v>
      </c>
      <c r="G593" s="92">
        <f t="shared" si="71"/>
        <v>263.21759999999995</v>
      </c>
      <c r="H593" s="124">
        <f t="shared" si="72"/>
        <v>365.58</v>
      </c>
      <c r="I593" s="124">
        <f t="shared" si="73"/>
        <v>402.13800000000003</v>
      </c>
      <c r="J593" s="125">
        <f t="shared" si="74"/>
        <v>548.37</v>
      </c>
    </row>
    <row r="594" spans="1:10" ht="14.95" customHeight="1">
      <c r="A594" s="7" t="s">
        <v>1788</v>
      </c>
      <c r="B594" s="92">
        <f t="shared" si="69"/>
        <v>166.96799999999999</v>
      </c>
      <c r="C594" s="92">
        <f>('Цены на металл '!AA593*'Цены на металл '!$B$4*1.4)+'Цены на металл '!AB593</f>
        <v>185.51999999999998</v>
      </c>
      <c r="D594" s="92">
        <f t="shared" si="70"/>
        <v>204.072</v>
      </c>
      <c r="E594" s="92">
        <f t="shared" si="71"/>
        <v>222.62399999999997</v>
      </c>
      <c r="F594" s="92">
        <f t="shared" si="71"/>
        <v>244.88639999999998</v>
      </c>
      <c r="G594" s="92">
        <f t="shared" si="71"/>
        <v>267.14879999999994</v>
      </c>
      <c r="H594" s="124">
        <f t="shared" si="72"/>
        <v>371.03999999999996</v>
      </c>
      <c r="I594" s="124">
        <f t="shared" si="73"/>
        <v>408.14400000000001</v>
      </c>
      <c r="J594" s="125">
        <f t="shared" si="74"/>
        <v>556.55999999999995</v>
      </c>
    </row>
    <row r="595" spans="1:10" ht="14.95" customHeight="1">
      <c r="A595" s="7" t="s">
        <v>1789</v>
      </c>
      <c r="B595" s="92">
        <f t="shared" si="69"/>
        <v>139.77719999999999</v>
      </c>
      <c r="C595" s="92">
        <f>('Цены на металл '!AA594*'Цены на металл '!$B$4*1.4)+'Цены на металл '!AB594</f>
        <v>155.30799999999999</v>
      </c>
      <c r="D595" s="92">
        <f t="shared" si="70"/>
        <v>170.83879999999999</v>
      </c>
      <c r="E595" s="92">
        <f t="shared" si="71"/>
        <v>186.36959999999999</v>
      </c>
      <c r="F595" s="92">
        <f t="shared" si="71"/>
        <v>205.00655999999998</v>
      </c>
      <c r="G595" s="92">
        <f t="shared" si="71"/>
        <v>223.64352</v>
      </c>
      <c r="H595" s="124">
        <f t="shared" si="72"/>
        <v>310.61599999999999</v>
      </c>
      <c r="I595" s="124">
        <f t="shared" si="73"/>
        <v>341.67759999999998</v>
      </c>
      <c r="J595" s="125">
        <f t="shared" si="74"/>
        <v>465.92399999999998</v>
      </c>
    </row>
    <row r="596" spans="1:10" ht="14.95" customHeight="1">
      <c r="A596" s="7" t="s">
        <v>1790</v>
      </c>
      <c r="B596" s="92">
        <f t="shared" si="69"/>
        <v>142.88939999999999</v>
      </c>
      <c r="C596" s="92">
        <f>('Цены на металл '!AA595*'Цены на металл '!$B$4*1.4)+'Цены на металл '!AB595</f>
        <v>158.76599999999999</v>
      </c>
      <c r="D596" s="92">
        <f t="shared" si="70"/>
        <v>174.64260000000002</v>
      </c>
      <c r="E596" s="92">
        <f t="shared" si="71"/>
        <v>190.51919999999998</v>
      </c>
      <c r="F596" s="92">
        <f t="shared" si="71"/>
        <v>209.57112000000001</v>
      </c>
      <c r="G596" s="92">
        <f t="shared" si="71"/>
        <v>228.62303999999997</v>
      </c>
      <c r="H596" s="124">
        <f t="shared" si="72"/>
        <v>317.53199999999998</v>
      </c>
      <c r="I596" s="124">
        <f t="shared" si="73"/>
        <v>349.28520000000003</v>
      </c>
      <c r="J596" s="125">
        <f t="shared" si="74"/>
        <v>476.298</v>
      </c>
    </row>
    <row r="597" spans="1:10" ht="14.95" customHeight="1">
      <c r="A597" s="7" t="s">
        <v>1791</v>
      </c>
      <c r="B597" s="92">
        <f t="shared" si="69"/>
        <v>147.47579999999999</v>
      </c>
      <c r="C597" s="92">
        <f>('Цены на металл '!AA596*'Цены на металл '!$B$4*1.4)+'Цены на металл '!AB596</f>
        <v>163.86199999999999</v>
      </c>
      <c r="D597" s="92">
        <f t="shared" si="70"/>
        <v>180.2482</v>
      </c>
      <c r="E597" s="92">
        <f t="shared" si="71"/>
        <v>196.6344</v>
      </c>
      <c r="F597" s="92">
        <f t="shared" si="71"/>
        <v>216.29783999999998</v>
      </c>
      <c r="G597" s="92">
        <f t="shared" si="71"/>
        <v>235.96127999999999</v>
      </c>
      <c r="H597" s="124">
        <f t="shared" si="72"/>
        <v>327.72399999999999</v>
      </c>
      <c r="I597" s="124">
        <f t="shared" si="73"/>
        <v>360.49639999999999</v>
      </c>
      <c r="J597" s="125">
        <f t="shared" si="74"/>
        <v>491.58600000000001</v>
      </c>
    </row>
    <row r="598" spans="1:10" ht="14.95" customHeight="1">
      <c r="A598" s="7" t="s">
        <v>1792</v>
      </c>
      <c r="B598" s="92">
        <f t="shared" si="69"/>
        <v>152.79929999999999</v>
      </c>
      <c r="C598" s="92">
        <f>('Цены на металл '!AA597*'Цены на металл '!$B$4*1.4)+'Цены на металл '!AB597</f>
        <v>169.77699999999999</v>
      </c>
      <c r="D598" s="92">
        <f t="shared" si="70"/>
        <v>186.75470000000001</v>
      </c>
      <c r="E598" s="92">
        <f t="shared" si="71"/>
        <v>203.73239999999998</v>
      </c>
      <c r="F598" s="92">
        <f t="shared" si="71"/>
        <v>224.10564000000002</v>
      </c>
      <c r="G598" s="92">
        <f t="shared" si="71"/>
        <v>244.47887999999998</v>
      </c>
      <c r="H598" s="124">
        <f t="shared" si="72"/>
        <v>339.55399999999997</v>
      </c>
      <c r="I598" s="124">
        <f t="shared" si="73"/>
        <v>373.50940000000003</v>
      </c>
      <c r="J598" s="125">
        <f t="shared" si="74"/>
        <v>509.33099999999996</v>
      </c>
    </row>
    <row r="599" spans="1:10" ht="14.95" customHeight="1">
      <c r="A599" s="7" t="s">
        <v>1793</v>
      </c>
      <c r="B599" s="92">
        <f t="shared" si="69"/>
        <v>154.43729999999999</v>
      </c>
      <c r="C599" s="92">
        <f>('Цены на металл '!AA598*'Цены на металл '!$B$4*1.4)+'Цены на металл '!AB598</f>
        <v>171.59699999999998</v>
      </c>
      <c r="D599" s="92">
        <f t="shared" si="70"/>
        <v>188.7567</v>
      </c>
      <c r="E599" s="92">
        <f t="shared" si="71"/>
        <v>205.91639999999998</v>
      </c>
      <c r="F599" s="92">
        <f t="shared" si="71"/>
        <v>226.50803999999999</v>
      </c>
      <c r="G599" s="92">
        <f t="shared" si="71"/>
        <v>247.09967999999998</v>
      </c>
      <c r="H599" s="124">
        <f t="shared" si="72"/>
        <v>343.19399999999996</v>
      </c>
      <c r="I599" s="124">
        <f t="shared" si="73"/>
        <v>377.51339999999999</v>
      </c>
      <c r="J599" s="125">
        <f t="shared" si="74"/>
        <v>514.79099999999994</v>
      </c>
    </row>
    <row r="600" spans="1:10" ht="14.95" customHeight="1">
      <c r="A600" s="7" t="s">
        <v>1794</v>
      </c>
      <c r="B600" s="92">
        <f t="shared" si="69"/>
        <v>151.9803</v>
      </c>
      <c r="C600" s="92">
        <f>('Цены на металл '!AA599*'Цены на металл '!$B$4*1.4)+'Цены на металл '!AB599</f>
        <v>168.86699999999999</v>
      </c>
      <c r="D600" s="92">
        <f t="shared" si="70"/>
        <v>185.75370000000001</v>
      </c>
      <c r="E600" s="92">
        <f t="shared" si="71"/>
        <v>202.64039999999997</v>
      </c>
      <c r="F600" s="92">
        <f t="shared" si="71"/>
        <v>222.90443999999999</v>
      </c>
      <c r="G600" s="92">
        <f t="shared" si="71"/>
        <v>243.16847999999996</v>
      </c>
      <c r="H600" s="124">
        <f t="shared" si="72"/>
        <v>337.73399999999998</v>
      </c>
      <c r="I600" s="124">
        <f t="shared" si="73"/>
        <v>371.50740000000002</v>
      </c>
      <c r="J600" s="125">
        <f t="shared" si="74"/>
        <v>506.601</v>
      </c>
    </row>
    <row r="601" spans="1:10" ht="14.95" customHeight="1">
      <c r="A601" s="7" t="s">
        <v>1795</v>
      </c>
      <c r="B601" s="92">
        <f t="shared" si="69"/>
        <v>163.44630000000001</v>
      </c>
      <c r="C601" s="92">
        <f>('Цены на металл '!AA600*'Цены на металл '!$B$4*1.4)+'Цены на металл '!AB600</f>
        <v>181.607</v>
      </c>
      <c r="D601" s="92">
        <f t="shared" si="70"/>
        <v>199.76770000000002</v>
      </c>
      <c r="E601" s="92">
        <f t="shared" si="71"/>
        <v>217.92839999999998</v>
      </c>
      <c r="F601" s="92">
        <f t="shared" si="71"/>
        <v>239.72124000000002</v>
      </c>
      <c r="G601" s="92">
        <f t="shared" si="71"/>
        <v>261.51407999999998</v>
      </c>
      <c r="H601" s="124">
        <f t="shared" si="72"/>
        <v>363.214</v>
      </c>
      <c r="I601" s="124">
        <f t="shared" si="73"/>
        <v>399.53540000000004</v>
      </c>
      <c r="J601" s="125">
        <f t="shared" si="74"/>
        <v>544.82100000000003</v>
      </c>
    </row>
    <row r="602" spans="1:10" ht="14.95" customHeight="1">
      <c r="A602" s="7" t="s">
        <v>1796</v>
      </c>
      <c r="B602" s="92">
        <f t="shared" si="69"/>
        <v>161.07120000000003</v>
      </c>
      <c r="C602" s="92">
        <f>('Цены на металл '!AA601*'Цены на металл '!$B$4*1.4)+'Цены на металл '!AB601</f>
        <v>178.96800000000002</v>
      </c>
      <c r="D602" s="92">
        <f t="shared" si="70"/>
        <v>196.86480000000003</v>
      </c>
      <c r="E602" s="92">
        <f t="shared" si="71"/>
        <v>214.76160000000002</v>
      </c>
      <c r="F602" s="92">
        <f t="shared" si="71"/>
        <v>236.23776000000004</v>
      </c>
      <c r="G602" s="92">
        <f t="shared" si="71"/>
        <v>257.71392000000003</v>
      </c>
      <c r="H602" s="124">
        <f t="shared" si="72"/>
        <v>357.93600000000004</v>
      </c>
      <c r="I602" s="124">
        <f t="shared" si="73"/>
        <v>393.72960000000006</v>
      </c>
      <c r="J602" s="125">
        <f t="shared" si="74"/>
        <v>536.904</v>
      </c>
    </row>
    <row r="603" spans="1:10" ht="14.95" customHeight="1">
      <c r="A603" s="7" t="s">
        <v>1797</v>
      </c>
      <c r="B603" s="92">
        <f t="shared" si="69"/>
        <v>171.22680000000003</v>
      </c>
      <c r="C603" s="92">
        <f>('Цены на металл '!AA602*'Цены на металл '!$B$4*1.4)+'Цены на металл '!AB602</f>
        <v>190.25200000000001</v>
      </c>
      <c r="D603" s="92">
        <f t="shared" si="70"/>
        <v>209.27720000000002</v>
      </c>
      <c r="E603" s="92">
        <f t="shared" si="71"/>
        <v>228.30240000000001</v>
      </c>
      <c r="F603" s="92">
        <f t="shared" si="71"/>
        <v>251.13264000000001</v>
      </c>
      <c r="G603" s="92">
        <f t="shared" si="71"/>
        <v>273.96287999999998</v>
      </c>
      <c r="H603" s="124">
        <f t="shared" si="72"/>
        <v>380.50400000000002</v>
      </c>
      <c r="I603" s="124">
        <f t="shared" si="73"/>
        <v>418.55440000000004</v>
      </c>
      <c r="J603" s="125">
        <f t="shared" si="74"/>
        <v>570.75600000000009</v>
      </c>
    </row>
    <row r="604" spans="1:10" ht="14.95" customHeight="1">
      <c r="A604" s="7" t="s">
        <v>1798</v>
      </c>
      <c r="B604" s="92">
        <f t="shared" si="69"/>
        <v>171.7182</v>
      </c>
      <c r="C604" s="92">
        <f>('Цены на металл '!AA603*'Цены на металл '!$B$4*1.4)+'Цены на металл '!AB603</f>
        <v>190.798</v>
      </c>
      <c r="D604" s="92">
        <f t="shared" si="70"/>
        <v>209.87780000000001</v>
      </c>
      <c r="E604" s="92">
        <f t="shared" si="71"/>
        <v>228.95759999999999</v>
      </c>
      <c r="F604" s="92">
        <f t="shared" si="71"/>
        <v>251.85336000000001</v>
      </c>
      <c r="G604" s="92">
        <f t="shared" si="71"/>
        <v>274.74911999999995</v>
      </c>
      <c r="H604" s="124">
        <f t="shared" si="72"/>
        <v>381.596</v>
      </c>
      <c r="I604" s="124">
        <f t="shared" si="73"/>
        <v>419.75560000000002</v>
      </c>
      <c r="J604" s="125">
        <f t="shared" si="74"/>
        <v>572.39400000000001</v>
      </c>
    </row>
    <row r="605" spans="1:10" ht="14.95" customHeight="1">
      <c r="A605" s="7" t="s">
        <v>1799</v>
      </c>
      <c r="B605" s="92">
        <f t="shared" si="69"/>
        <v>170.16210000000001</v>
      </c>
      <c r="C605" s="92">
        <f>('Цены на металл '!AA604*'Цены на металл '!$B$4*1.4)+'Цены на металл '!AB604</f>
        <v>189.06900000000002</v>
      </c>
      <c r="D605" s="92">
        <f t="shared" si="70"/>
        <v>207.97590000000002</v>
      </c>
      <c r="E605" s="92">
        <f t="shared" si="71"/>
        <v>226.8828</v>
      </c>
      <c r="F605" s="92">
        <f t="shared" si="71"/>
        <v>249.57108000000002</v>
      </c>
      <c r="G605" s="92">
        <f t="shared" si="71"/>
        <v>272.25936000000002</v>
      </c>
      <c r="H605" s="124">
        <f t="shared" si="72"/>
        <v>378.13800000000003</v>
      </c>
      <c r="I605" s="124">
        <f t="shared" si="73"/>
        <v>415.95180000000005</v>
      </c>
      <c r="J605" s="125">
        <f t="shared" si="74"/>
        <v>567.20700000000011</v>
      </c>
    </row>
    <row r="606" spans="1:10" ht="14.95" customHeight="1">
      <c r="A606" s="9" t="s">
        <v>1815</v>
      </c>
      <c r="B606" s="92">
        <f t="shared" si="69"/>
        <v>0</v>
      </c>
      <c r="C606" s="130"/>
      <c r="D606" s="92">
        <f t="shared" si="70"/>
        <v>0</v>
      </c>
      <c r="E606" s="92">
        <f t="shared" si="71"/>
        <v>0</v>
      </c>
      <c r="F606" s="92">
        <f t="shared" si="71"/>
        <v>0</v>
      </c>
      <c r="G606" s="92">
        <f t="shared" si="71"/>
        <v>0</v>
      </c>
      <c r="H606" s="124">
        <f t="shared" si="72"/>
        <v>0</v>
      </c>
      <c r="I606" s="124">
        <f t="shared" si="73"/>
        <v>0</v>
      </c>
      <c r="J606" s="125">
        <f t="shared" si="74"/>
        <v>0</v>
      </c>
    </row>
    <row r="607" spans="1:10" ht="14.95" customHeight="1">
      <c r="A607" s="7" t="s">
        <v>1800</v>
      </c>
      <c r="B607" s="92">
        <f t="shared" si="69"/>
        <v>38.052</v>
      </c>
      <c r="C607" s="92">
        <f>('Цены на металл '!AA606*'Цены на металл '!$B$4*1.4)+'Цены на металл '!AB606</f>
        <v>42.28</v>
      </c>
      <c r="D607" s="92">
        <f t="shared" si="70"/>
        <v>46.508000000000003</v>
      </c>
      <c r="E607" s="92">
        <f t="shared" si="71"/>
        <v>50.735999999999997</v>
      </c>
      <c r="F607" s="92">
        <f t="shared" si="71"/>
        <v>55.809600000000003</v>
      </c>
      <c r="G607" s="92">
        <f t="shared" si="71"/>
        <v>60.883199999999995</v>
      </c>
      <c r="H607" s="124">
        <f t="shared" si="72"/>
        <v>84.56</v>
      </c>
      <c r="I607" s="124">
        <f t="shared" si="73"/>
        <v>93.016000000000005</v>
      </c>
      <c r="J607" s="125">
        <f t="shared" si="74"/>
        <v>126.84</v>
      </c>
    </row>
    <row r="608" spans="1:10" ht="14.95" customHeight="1">
      <c r="A608" s="7" t="s">
        <v>1801</v>
      </c>
      <c r="B608" s="92">
        <f t="shared" si="69"/>
        <v>38.871000000000002</v>
      </c>
      <c r="C608" s="92">
        <f>('Цены на металл '!AA607*'Цены на металл '!$B$4*1.4)+'Цены на металл '!AB607</f>
        <v>43.19</v>
      </c>
      <c r="D608" s="92">
        <f t="shared" si="70"/>
        <v>47.509</v>
      </c>
      <c r="E608" s="92">
        <f t="shared" si="71"/>
        <v>51.827999999999996</v>
      </c>
      <c r="F608" s="92">
        <f t="shared" si="71"/>
        <v>57.010799999999996</v>
      </c>
      <c r="G608" s="92">
        <f t="shared" si="71"/>
        <v>62.193599999999989</v>
      </c>
      <c r="H608" s="124">
        <f t="shared" si="72"/>
        <v>86.38</v>
      </c>
      <c r="I608" s="124">
        <f t="shared" si="73"/>
        <v>95.018000000000001</v>
      </c>
      <c r="J608" s="125">
        <f t="shared" si="74"/>
        <v>129.57</v>
      </c>
    </row>
    <row r="609" spans="1:10" ht="14.95" customHeight="1">
      <c r="A609" s="7" t="s">
        <v>1802</v>
      </c>
      <c r="B609" s="92">
        <f t="shared" si="69"/>
        <v>41.082299999999996</v>
      </c>
      <c r="C609" s="92">
        <f>('Цены на металл '!AA608*'Цены на металл '!$B$4*1.4)+'Цены на металл '!AB608</f>
        <v>45.646999999999998</v>
      </c>
      <c r="D609" s="92">
        <f t="shared" si="70"/>
        <v>50.2117</v>
      </c>
      <c r="E609" s="92">
        <f t="shared" si="71"/>
        <v>54.776399999999995</v>
      </c>
      <c r="F609" s="92">
        <f t="shared" si="71"/>
        <v>60.254039999999996</v>
      </c>
      <c r="G609" s="92">
        <f t="shared" si="71"/>
        <v>65.731679999999997</v>
      </c>
      <c r="H609" s="124">
        <f t="shared" si="72"/>
        <v>91.293999999999997</v>
      </c>
      <c r="I609" s="124">
        <f t="shared" si="73"/>
        <v>100.4234</v>
      </c>
      <c r="J609" s="125">
        <f t="shared" si="74"/>
        <v>136.941</v>
      </c>
    </row>
    <row r="610" spans="1:10" ht="14.95" customHeight="1">
      <c r="A610" s="7" t="s">
        <v>1803</v>
      </c>
      <c r="B610" s="92">
        <f t="shared" si="69"/>
        <v>51.975000000000001</v>
      </c>
      <c r="C610" s="92">
        <f>('Цены на металл '!AA609*'Цены на металл '!$B$4*1.4)+'Цены на металл '!AB609</f>
        <v>57.75</v>
      </c>
      <c r="D610" s="92">
        <f t="shared" si="70"/>
        <v>63.525000000000006</v>
      </c>
      <c r="E610" s="92">
        <f t="shared" si="71"/>
        <v>69.3</v>
      </c>
      <c r="F610" s="92">
        <f t="shared" si="71"/>
        <v>76.23</v>
      </c>
      <c r="G610" s="92">
        <f t="shared" si="71"/>
        <v>83.16</v>
      </c>
      <c r="H610" s="124">
        <f t="shared" si="72"/>
        <v>115.5</v>
      </c>
      <c r="I610" s="124">
        <f t="shared" si="73"/>
        <v>127.05000000000001</v>
      </c>
      <c r="J610" s="125">
        <f t="shared" si="74"/>
        <v>173.25</v>
      </c>
    </row>
    <row r="611" spans="1:10" ht="14.95" customHeight="1">
      <c r="A611" s="7" t="s">
        <v>1804</v>
      </c>
      <c r="B611" s="92">
        <f t="shared" si="69"/>
        <v>57.2166</v>
      </c>
      <c r="C611" s="92">
        <f>('Цены на металл '!AA610*'Цены на металл '!$B$4*1.4)+'Цены на металл '!AB610</f>
        <v>63.573999999999998</v>
      </c>
      <c r="D611" s="92">
        <f t="shared" si="70"/>
        <v>69.931399999999996</v>
      </c>
      <c r="E611" s="92">
        <f t="shared" si="71"/>
        <v>76.288799999999995</v>
      </c>
      <c r="F611" s="92">
        <f t="shared" si="71"/>
        <v>83.91767999999999</v>
      </c>
      <c r="G611" s="92">
        <f t="shared" si="71"/>
        <v>91.546559999999985</v>
      </c>
      <c r="H611" s="124">
        <f t="shared" si="72"/>
        <v>127.148</v>
      </c>
      <c r="I611" s="124">
        <f t="shared" si="73"/>
        <v>139.86279999999999</v>
      </c>
      <c r="J611" s="125">
        <f t="shared" si="74"/>
        <v>190.72199999999998</v>
      </c>
    </row>
    <row r="612" spans="1:10" ht="14.95" customHeight="1">
      <c r="A612" s="7" t="s">
        <v>1805</v>
      </c>
      <c r="B612" s="92">
        <f t="shared" si="69"/>
        <v>60.164999999999999</v>
      </c>
      <c r="C612" s="92">
        <f>('Цены на металл '!AA611*'Цены на металл '!$B$4*1.4)+'Цены на металл '!AB611</f>
        <v>66.849999999999994</v>
      </c>
      <c r="D612" s="92">
        <f t="shared" si="70"/>
        <v>73.534999999999997</v>
      </c>
      <c r="E612" s="92">
        <f t="shared" si="71"/>
        <v>80.219999999999985</v>
      </c>
      <c r="F612" s="92">
        <f t="shared" si="71"/>
        <v>88.24199999999999</v>
      </c>
      <c r="G612" s="92">
        <f t="shared" si="71"/>
        <v>96.263999999999982</v>
      </c>
      <c r="H612" s="124">
        <f t="shared" si="72"/>
        <v>133.69999999999999</v>
      </c>
      <c r="I612" s="124">
        <f t="shared" si="73"/>
        <v>147.07</v>
      </c>
      <c r="J612" s="125">
        <f t="shared" si="74"/>
        <v>200.54999999999998</v>
      </c>
    </row>
    <row r="613" spans="1:10" ht="14.95" customHeight="1">
      <c r="A613" s="7" t="s">
        <v>1806</v>
      </c>
      <c r="B613" s="92">
        <f t="shared" si="69"/>
        <v>61.884899999999995</v>
      </c>
      <c r="C613" s="92">
        <f>('Цены на металл '!AA612*'Цены на металл '!$B$4*1.4)+'Цены на металл '!AB612</f>
        <v>68.760999999999996</v>
      </c>
      <c r="D613" s="92">
        <f t="shared" si="70"/>
        <v>75.637100000000004</v>
      </c>
      <c r="E613" s="92">
        <f t="shared" si="71"/>
        <v>82.513199999999998</v>
      </c>
      <c r="F613" s="92">
        <f t="shared" si="71"/>
        <v>90.764520000000005</v>
      </c>
      <c r="G613" s="92">
        <f t="shared" si="71"/>
        <v>99.015839999999997</v>
      </c>
      <c r="H613" s="124">
        <f t="shared" si="72"/>
        <v>137.52199999999999</v>
      </c>
      <c r="I613" s="124">
        <f t="shared" si="73"/>
        <v>151.27420000000001</v>
      </c>
      <c r="J613" s="125">
        <f t="shared" si="74"/>
        <v>206.28299999999999</v>
      </c>
    </row>
    <row r="614" spans="1:10" ht="14.95" customHeight="1">
      <c r="A614" s="7" t="s">
        <v>1807</v>
      </c>
      <c r="B614" s="92">
        <f t="shared" si="69"/>
        <v>49.272300000000001</v>
      </c>
      <c r="C614" s="92">
        <f>('Цены на металл '!AA613*'Цены на металл '!$B$4*1.4)+'Цены на металл '!AB613</f>
        <v>54.747</v>
      </c>
      <c r="D614" s="92">
        <f t="shared" si="70"/>
        <v>60.221700000000006</v>
      </c>
      <c r="E614" s="92">
        <f t="shared" si="71"/>
        <v>65.696399999999997</v>
      </c>
      <c r="F614" s="92">
        <f t="shared" si="71"/>
        <v>72.266040000000004</v>
      </c>
      <c r="G614" s="92">
        <f t="shared" si="71"/>
        <v>78.835679999999996</v>
      </c>
      <c r="H614" s="124">
        <f t="shared" si="72"/>
        <v>109.494</v>
      </c>
      <c r="I614" s="124">
        <f t="shared" si="73"/>
        <v>120.44340000000001</v>
      </c>
      <c r="J614" s="125">
        <f t="shared" si="74"/>
        <v>164.24099999999999</v>
      </c>
    </row>
    <row r="615" spans="1:10" ht="14.95" customHeight="1">
      <c r="A615" s="7" t="s">
        <v>1808</v>
      </c>
      <c r="B615" s="92">
        <f t="shared" si="69"/>
        <v>49.108499999999999</v>
      </c>
      <c r="C615" s="92">
        <f>('Цены на металл '!AA614*'Цены на металл '!$B$4*1.4)+'Цены на металл '!AB614</f>
        <v>54.564999999999998</v>
      </c>
      <c r="D615" s="92">
        <f t="shared" si="70"/>
        <v>60.021500000000003</v>
      </c>
      <c r="E615" s="92">
        <f t="shared" si="71"/>
        <v>65.477999999999994</v>
      </c>
      <c r="F615" s="92">
        <f t="shared" si="71"/>
        <v>72.025800000000004</v>
      </c>
      <c r="G615" s="92">
        <f t="shared" si="71"/>
        <v>78.573599999999985</v>
      </c>
      <c r="H615" s="124">
        <f t="shared" si="72"/>
        <v>109.13</v>
      </c>
      <c r="I615" s="124">
        <f t="shared" si="73"/>
        <v>120.04300000000001</v>
      </c>
      <c r="J615" s="125">
        <f t="shared" si="74"/>
        <v>163.69499999999999</v>
      </c>
    </row>
    <row r="616" spans="1:10" ht="14.95" customHeight="1">
      <c r="A616" s="7" t="s">
        <v>1809</v>
      </c>
      <c r="B616" s="92">
        <f t="shared" si="69"/>
        <v>57.298499999999997</v>
      </c>
      <c r="C616" s="92">
        <f>('Цены на металл '!AA615*'Цены на металл '!$B$4*1.4)+'Цены на металл '!AB615</f>
        <v>63.664999999999999</v>
      </c>
      <c r="D616" s="92">
        <f t="shared" si="70"/>
        <v>70.031500000000008</v>
      </c>
      <c r="E616" s="92">
        <f t="shared" si="71"/>
        <v>76.397999999999996</v>
      </c>
      <c r="F616" s="92">
        <f t="shared" si="71"/>
        <v>84.037800000000004</v>
      </c>
      <c r="G616" s="92">
        <f t="shared" si="71"/>
        <v>91.677599999999998</v>
      </c>
      <c r="H616" s="124">
        <f t="shared" si="72"/>
        <v>127.33</v>
      </c>
      <c r="I616" s="124">
        <f t="shared" si="73"/>
        <v>140.06300000000002</v>
      </c>
      <c r="J616" s="125">
        <f t="shared" si="74"/>
        <v>190.995</v>
      </c>
    </row>
    <row r="617" spans="1:10" ht="14.95" customHeight="1">
      <c r="A617" s="7" t="s">
        <v>1810</v>
      </c>
      <c r="B617" s="92">
        <f t="shared" si="69"/>
        <v>65.488499999999988</v>
      </c>
      <c r="C617" s="92">
        <f>('Цены на металл '!AA616*'Цены на металл '!$B$4*1.4)+'Цены на металл '!AB616</f>
        <v>72.764999999999986</v>
      </c>
      <c r="D617" s="92">
        <f t="shared" si="70"/>
        <v>80.041499999999985</v>
      </c>
      <c r="E617" s="92">
        <f t="shared" si="71"/>
        <v>87.317999999999984</v>
      </c>
      <c r="F617" s="92">
        <f t="shared" si="71"/>
        <v>96.049799999999976</v>
      </c>
      <c r="G617" s="92">
        <f t="shared" si="71"/>
        <v>104.78159999999998</v>
      </c>
      <c r="H617" s="124">
        <f t="shared" si="72"/>
        <v>145.52999999999997</v>
      </c>
      <c r="I617" s="124">
        <f t="shared" si="73"/>
        <v>160.08299999999997</v>
      </c>
      <c r="J617" s="125">
        <f t="shared" si="74"/>
        <v>218.29499999999996</v>
      </c>
    </row>
    <row r="618" spans="1:10" ht="14.95" customHeight="1">
      <c r="A618" s="7" t="s">
        <v>1811</v>
      </c>
      <c r="B618" s="92">
        <f t="shared" si="69"/>
        <v>73.678500000000014</v>
      </c>
      <c r="C618" s="92">
        <f>('Цены на металл '!AA617*'Цены на металл '!$B$4*1.4)+'Цены на металл '!AB617</f>
        <v>81.865000000000009</v>
      </c>
      <c r="D618" s="92">
        <f t="shared" si="70"/>
        <v>90.051500000000019</v>
      </c>
      <c r="E618" s="92">
        <f t="shared" si="71"/>
        <v>98.238000000000014</v>
      </c>
      <c r="F618" s="92">
        <f t="shared" si="71"/>
        <v>108.06180000000002</v>
      </c>
      <c r="G618" s="92">
        <f t="shared" si="71"/>
        <v>117.88560000000001</v>
      </c>
      <c r="H618" s="124">
        <f t="shared" si="72"/>
        <v>163.73000000000002</v>
      </c>
      <c r="I618" s="124">
        <f t="shared" si="73"/>
        <v>180.10300000000004</v>
      </c>
      <c r="J618" s="125">
        <f t="shared" si="74"/>
        <v>245.59500000000003</v>
      </c>
    </row>
    <row r="619" spans="1:10" ht="14.95" customHeight="1">
      <c r="A619" s="7" t="s">
        <v>1812</v>
      </c>
      <c r="B619" s="92">
        <f t="shared" si="69"/>
        <v>81.868500000000012</v>
      </c>
      <c r="C619" s="92">
        <f>('Цены на металл '!AA618*'Цены на металл '!$B$4*1.4)+'Цены на металл '!AB618</f>
        <v>90.965000000000003</v>
      </c>
      <c r="D619" s="92">
        <f t="shared" si="70"/>
        <v>100.06150000000001</v>
      </c>
      <c r="E619" s="92">
        <f t="shared" si="71"/>
        <v>109.158</v>
      </c>
      <c r="F619" s="92">
        <f t="shared" si="71"/>
        <v>120.07380000000001</v>
      </c>
      <c r="G619" s="92">
        <f t="shared" si="71"/>
        <v>130.9896</v>
      </c>
      <c r="H619" s="124">
        <f t="shared" si="72"/>
        <v>181.93</v>
      </c>
      <c r="I619" s="124">
        <f t="shared" si="73"/>
        <v>200.12300000000002</v>
      </c>
      <c r="J619" s="125">
        <f t="shared" si="74"/>
        <v>272.89499999999998</v>
      </c>
    </row>
    <row r="620" spans="1:10" ht="14.95" customHeight="1">
      <c r="A620" s="7" t="s">
        <v>1813</v>
      </c>
      <c r="B620" s="92">
        <f t="shared" si="69"/>
        <v>90.058499999999995</v>
      </c>
      <c r="C620" s="92">
        <f>('Цены на металл '!AA619*'Цены на металл '!$B$4*1.4)+'Цены на металл '!AB619</f>
        <v>100.065</v>
      </c>
      <c r="D620" s="92">
        <f t="shared" si="70"/>
        <v>110.0715</v>
      </c>
      <c r="E620" s="92">
        <f t="shared" si="71"/>
        <v>120.07799999999999</v>
      </c>
      <c r="F620" s="92">
        <f t="shared" si="71"/>
        <v>132.08580000000001</v>
      </c>
      <c r="G620" s="92">
        <f t="shared" si="71"/>
        <v>144.09359999999998</v>
      </c>
      <c r="H620" s="124">
        <f t="shared" si="72"/>
        <v>200.13</v>
      </c>
      <c r="I620" s="124">
        <f t="shared" si="73"/>
        <v>220.143</v>
      </c>
      <c r="J620" s="125">
        <f t="shared" si="74"/>
        <v>300.19499999999999</v>
      </c>
    </row>
    <row r="621" spans="1:10" ht="14.95" customHeight="1">
      <c r="A621" s="9" t="s">
        <v>1816</v>
      </c>
      <c r="B621" s="130"/>
      <c r="C621" s="92">
        <f>('Цены на металл '!AA620*'Цены на металл '!$B$4*1.4)+'Цены на металл '!AB620</f>
        <v>0</v>
      </c>
      <c r="D621" s="130"/>
      <c r="E621" s="130"/>
      <c r="F621" s="130"/>
      <c r="G621" s="130"/>
      <c r="H621" s="124">
        <f>'Цены на металл '!AA620*('Цены на металл '!$H$4+'Цены на металл '!$H$5)*1.4+'Цены на металл '!AB620</f>
        <v>0</v>
      </c>
      <c r="I621" s="124" t="e">
        <f>'Цены на металл '!AB620*('Цены на металл '!$H$4+'Цены на металл '!$H$5)*1.4+'Цены на металл '!AC620</f>
        <v>#VALUE!</v>
      </c>
      <c r="J621" s="125"/>
    </row>
    <row r="622" spans="1:10" ht="14.95" customHeight="1">
      <c r="A622" s="7" t="s">
        <v>1817</v>
      </c>
      <c r="B622" s="92">
        <f>'Цены на металл '!$AC621*7.85*'Цены на металл '!A$3/1000*'Цены на металл '!A$4*1.25</f>
        <v>17.220937499999998</v>
      </c>
      <c r="C622" s="92">
        <f>'Цены на металл '!$AC621*7.85*'Цены на металл '!B$3/1000*'Цены на металл '!B$4*1.25</f>
        <v>22.387218749999999</v>
      </c>
      <c r="D622" s="92">
        <f>'Цены на металл '!$AC621*7.85*'Цены на металл '!C$3/1000*'Цены на металл '!C$4*1.25</f>
        <v>25.831406249999993</v>
      </c>
      <c r="E622" s="92">
        <f>'Цены на металл '!$AC621*7.85*'Цены на металл '!D$3/1000*'Цены на металл '!D$4*1.25</f>
        <v>30.997687499999998</v>
      </c>
      <c r="F622" s="92">
        <f>'Цены на металл '!$AC621*7.85*'Цены на металл '!E$3/1000*'Цены на металл '!E$4*1.25</f>
        <v>37.886062500000001</v>
      </c>
      <c r="G622" s="92">
        <f>'Цены на металл '!$AC621*7.85*'Цены на металл '!F$3/1000*'Цены на металл '!F$4*1.25</f>
        <v>48.218624999999989</v>
      </c>
      <c r="H622" s="124">
        <f>'Цены на металл '!$AC621*7.85/1000*('Цены на металл '!$H$4+'Цены на металл '!$H$5)*1.13</f>
        <v>48.858713999999992</v>
      </c>
      <c r="I622" s="124">
        <f>'Цены на металл '!$AC621*7.85/1000*('Цены на металл '!$H$4+'Цены на металл '!$H$5)*1.13</f>
        <v>48.858713999999992</v>
      </c>
      <c r="J622" s="152">
        <f>'Цены на металл '!$AC621*7.85*'Цены на металл '!L$3/1000*'Цены на металл '!$L$4*1.8</f>
        <v>146.49983999999998</v>
      </c>
    </row>
    <row r="623" spans="1:10" ht="14.95" customHeight="1">
      <c r="A623" s="7" t="s">
        <v>1818</v>
      </c>
      <c r="B623" s="92">
        <f>'Цены на металл '!$AC622*7.85*'Цены на металл '!A$3/1000*'Цены на металл '!A$4*1.25</f>
        <v>22.004531249999996</v>
      </c>
      <c r="C623" s="92">
        <f>'Цены на металл '!$AC622*7.85*'Цены на металл '!$B$3/1000*'Цены на металл '!$B$4*1.25</f>
        <v>28.605890625000001</v>
      </c>
      <c r="D623" s="92">
        <f>'Цены на металл '!$AC622*7.85*'Цены на металл '!C$3/1000*'Цены на металл '!C$4*1.25</f>
        <v>33.006796874999999</v>
      </c>
      <c r="E623" s="92">
        <f>'Цены на металл '!$AC622*7.85*'Цены на металл '!D$3/1000*'Цены на металл '!D$4*1.25</f>
        <v>39.60815625</v>
      </c>
      <c r="F623" s="92">
        <f>'Цены на металл '!$AC622*7.85*'Цены на металл '!E$3/1000*'Цены на металл '!E$4*1.25</f>
        <v>48.409968750000012</v>
      </c>
      <c r="G623" s="92">
        <f>'Цены на металл '!$AC622*7.85*'Цены на металл '!F$3/1000*'Цены на металл '!F$4*1.25</f>
        <v>61.612687499999993</v>
      </c>
      <c r="H623" s="124">
        <f>'Цены на металл '!$AC622*7.85/1000*('Цены на металл '!$H$4+'Цены на металл '!$H$5)*1.13</f>
        <v>62.430578999999987</v>
      </c>
      <c r="I623" s="124">
        <f>'Цены на металл '!$AC622*7.85/1000*('Цены на металл '!$H$4+'Цены на металл '!$H$5)*1.13</f>
        <v>62.430578999999987</v>
      </c>
      <c r="J623" s="152">
        <f>'Цены на металл '!$AC622*7.85*'Цены на металл '!L$3/1000*'Цены на металл '!$L$4*1.8</f>
        <v>187.19423999999998</v>
      </c>
    </row>
    <row r="624" spans="1:10" ht="14.95" customHeight="1">
      <c r="A624" s="7" t="s">
        <v>1819</v>
      </c>
      <c r="B624" s="92">
        <f>'Цены на металл '!$AC623*7.85*'Цены на металл '!A$3/1000*'Цены на металл '!A$4*1.25</f>
        <v>25.193593750000002</v>
      </c>
      <c r="C624" s="92">
        <f>'Цены на металл '!$AC623*7.85*'Цены на металл '!$B$3/1000*'Цены на металл '!$B$4*1.25</f>
        <v>32.751671875</v>
      </c>
      <c r="D624" s="92">
        <f>'Цены на металл '!$AC623*7.85*'Цены на металл '!C$3/1000*'Цены на металл '!C$4*1.25</f>
        <v>37.790390624999993</v>
      </c>
      <c r="E624" s="92">
        <f>'Цены на металл '!$AC623*7.85*'Цены на металл '!D$3/1000*'Цены на металл '!D$4*1.25</f>
        <v>45.348468749999995</v>
      </c>
      <c r="F624" s="92">
        <f>'Цены на металл '!$AC623*7.85*'Цены на металл '!E$3/1000*'Цены на металл '!E$4*1.25</f>
        <v>55.425906250000011</v>
      </c>
      <c r="G624" s="92">
        <f>'Цены на металл '!$AC623*7.85*'Цены на металл '!F$3/1000*'Цены на металл '!F$4*1.25</f>
        <v>70.542062499999986</v>
      </c>
      <c r="H624" s="124">
        <f>'Цены на металл '!$AC623*7.85/1000*('Цены на металл '!$H$4+'Цены на металл '!$H$5)*1.13</f>
        <v>71.478488999999996</v>
      </c>
      <c r="I624" s="124">
        <f>'Цены на металл '!$AC623*7.85/1000*('Цены на металл '!$H$4+'Цены на металл '!$H$5)*1.13</f>
        <v>71.478488999999996</v>
      </c>
      <c r="J624" s="152">
        <f>'Цены на металл '!$AC623*7.85*'Цены на металл '!L$3/1000*'Цены на металл '!$L$4*1.8</f>
        <v>214.32383999999999</v>
      </c>
    </row>
    <row r="625" spans="1:10" ht="14.95" customHeight="1">
      <c r="A625" s="7" t="s">
        <v>1820</v>
      </c>
      <c r="B625" s="92">
        <f>'Цены на металл '!$AC624*7.85*'Цены на металл '!A$3/1000*'Цены на металл '!A$4*1.25</f>
        <v>27.107031250000002</v>
      </c>
      <c r="C625" s="92">
        <f>'Цены на металл '!$AC624*7.85*'Цены на металл '!$B$3/1000*'Цены на металл '!$B$4*1.25</f>
        <v>35.239140625000005</v>
      </c>
      <c r="D625" s="92">
        <f>'Цены на металл '!$AC624*7.85*'Цены на металл '!C$3/1000*'Цены на металл '!C$4*1.25</f>
        <v>40.660546874999994</v>
      </c>
      <c r="E625" s="92">
        <f>'Цены на металл '!$AC624*7.85*'Цены на металл '!D$3/1000*'Цены на металл '!D$4*1.25</f>
        <v>48.792656249999993</v>
      </c>
      <c r="F625" s="92">
        <f>'Цены на металл '!$AC624*7.85*'Цены на металл '!E$3/1000*'Цены на металл '!E$4*1.25</f>
        <v>59.635468750000001</v>
      </c>
      <c r="G625" s="92">
        <f>'Цены на металл '!$AC624*7.85*'Цены на металл '!F$3/1000*'Цены на металл '!F$4*1.25</f>
        <v>75.899687499999999</v>
      </c>
      <c r="H625" s="124">
        <f>'Цены на металл '!$AC624*7.85/1000*('Цены на металл '!$H$4+'Цены на металл '!$H$5)*1.13</f>
        <v>76.907234999999986</v>
      </c>
      <c r="I625" s="124">
        <f>'Цены на металл '!$AC624*7.85/1000*('Цены на металл '!$H$4+'Цены на металл '!$H$5)*1.13</f>
        <v>76.907234999999986</v>
      </c>
      <c r="J625" s="152">
        <f>'Цены на металл '!$AC624*7.85*'Цены на металл '!L$3/1000*'Цены на металл '!$L$4*1.8</f>
        <v>230.60160000000005</v>
      </c>
    </row>
    <row r="626" spans="1:10" ht="14.95" customHeight="1">
      <c r="A626" s="7" t="s">
        <v>1821</v>
      </c>
      <c r="B626" s="92">
        <f>'Цены на металл '!$AC625*7.85*'Цены на металл '!A$3/1000*'Цены на металл '!A$4*1.25</f>
        <v>31.571718749999999</v>
      </c>
      <c r="C626" s="92">
        <f>'Цены на металл '!$AC625*7.85*'Цены на металл '!$B$3/1000*'Цены на металл '!$B$4*1.25</f>
        <v>41.043234374999997</v>
      </c>
      <c r="D626" s="92">
        <f>'Цены на металл '!$AC625*7.85*'Цены на металл '!C$3/1000*'Цены на металл '!C$4*1.25</f>
        <v>47.357578124999989</v>
      </c>
      <c r="E626" s="92">
        <f>'Цены на металл '!$AC625*7.85*'Цены на металл '!D$3/1000*'Цены на металл '!D$4*1.25</f>
        <v>56.829093749999998</v>
      </c>
      <c r="F626" s="92">
        <f>'Цены на металл '!$AC625*7.85*'Цены на металл '!E$3/1000*'Цены на металл '!E$4*1.25</f>
        <v>69.457781249999996</v>
      </c>
      <c r="G626" s="92">
        <f>'Цены на металл '!$AC625*7.85*'Цены на металл '!F$3/1000*'Цены на металл '!F$4*1.25</f>
        <v>88.400812499999986</v>
      </c>
      <c r="H626" s="124">
        <f>'Цены на металл '!$AC625*7.85/1000*('Цены на металл '!$H$4+'Цены на металл '!$H$5)*1.13</f>
        <v>89.574309</v>
      </c>
      <c r="I626" s="124">
        <f>'Цены на металл '!$AC625*7.85/1000*('Цены на металл '!$H$4+'Цены на металл '!$H$5)*1.13</f>
        <v>89.574309</v>
      </c>
      <c r="J626" s="152">
        <f>'Цены на металл '!$AC625*7.85*'Цены на металл '!L$3/1000*'Цены на металл '!$L$4*1.8</f>
        <v>268.58304000000004</v>
      </c>
    </row>
    <row r="627" spans="1:10" ht="14.95" customHeight="1">
      <c r="A627" s="7" t="s">
        <v>1822</v>
      </c>
      <c r="B627" s="92">
        <f>'Цены на металл '!$AC626*7.85*'Цены на металл '!A$3/1000*'Цены на металл '!A$4*1.25</f>
        <v>37.949843749999999</v>
      </c>
      <c r="C627" s="92">
        <f>'Цены на металл '!$AC626*7.85*'Цены на металл '!$B$3/1000*'Цены на металл '!$B$4*1.25</f>
        <v>49.334796874999995</v>
      </c>
      <c r="D627" s="92">
        <f>'Цены на металл '!$AC626*7.85*'Цены на металл '!C$3/1000*'Цены на металл '!C$4*1.25</f>
        <v>56.924765624999992</v>
      </c>
      <c r="E627" s="92">
        <f>'Цены на металл '!$AC626*7.85*'Цены на металл '!D$3/1000*'Цены на металл '!D$4*1.25</f>
        <v>68.309718750000002</v>
      </c>
      <c r="F627" s="92">
        <f>'Цены на металл '!$AC626*7.85*'Цены на металл '!E$3/1000*'Цены на металл '!E$4*1.25</f>
        <v>83.489656249999996</v>
      </c>
      <c r="G627" s="92">
        <f>'Цены на металл '!$AC626*7.85*'Цены на металл '!F$3/1000*'Цены на металл '!F$4*1.25</f>
        <v>106.2595625</v>
      </c>
      <c r="H627" s="124">
        <f>'Цены на металл '!$AC626*7.85/1000*('Цены на металл '!$H$4+'Цены на металл '!$H$5)*1.13</f>
        <v>107.67012899999999</v>
      </c>
      <c r="I627" s="124">
        <f>'Цены на металл '!$AC626*7.85/1000*('Цены на металл '!$H$4+'Цены на металл '!$H$5)*1.13</f>
        <v>107.67012899999999</v>
      </c>
      <c r="J627" s="152">
        <f>'Цены на металл '!$AC626*7.85*'Цены на металл '!L$3/1000*'Цены на металл '!$L$4*1.8</f>
        <v>322.84224000000006</v>
      </c>
    </row>
    <row r="628" spans="1:10" ht="14.95" customHeight="1">
      <c r="A628" s="7" t="s">
        <v>1823</v>
      </c>
      <c r="B628" s="92">
        <f>'Цены на металл '!$AC627*7.85*'Цены на металл '!A$3/1000*'Цены на металл '!A$4*1.25</f>
        <v>53.895156249999999</v>
      </c>
      <c r="C628" s="92">
        <f>'Цены на металл '!$AC627*7.85*'Цены на металл '!$B$3/1000*'Цены на металл '!$B$4*1.25</f>
        <v>70.063703124999989</v>
      </c>
      <c r="D628" s="92">
        <f>'Цены на металл '!$AC627*7.85*'Цены на металл '!C$3/1000*'Цены на металл '!C$4*1.25</f>
        <v>80.842734374999992</v>
      </c>
      <c r="E628" s="92">
        <f>'Цены на металл '!$AC627*7.85*'Цены на металл '!D$3/1000*'Цены на металл '!D$4*1.25</f>
        <v>97.011281249999982</v>
      </c>
      <c r="F628" s="92">
        <f>'Цены на металл '!$AC627*7.85*'Цены на металл '!E$3/1000*'Цены на металл '!E$4*1.25</f>
        <v>118.56934375000002</v>
      </c>
      <c r="G628" s="92">
        <f>'Цены на металл '!$AC627*7.85*'Цены на металл '!F$3/1000*'Цены на металл '!F$4*1.25</f>
        <v>150.90643749999998</v>
      </c>
      <c r="H628" s="124">
        <f>'Цены на металл '!$AC627*7.85/1000*('Цены на металл '!$H$4+'Цены на металл '!$H$5)*1.13</f>
        <v>152.90967899999998</v>
      </c>
      <c r="I628" s="124">
        <f>'Цены на металл '!$AC627*7.85/1000*('Цены на металл '!$H$4+'Цены на металл '!$H$5)*1.13</f>
        <v>152.90967899999998</v>
      </c>
      <c r="J628" s="152">
        <f>'Цены на металл '!$AC627*7.85*'Цены на металл '!L$3/1000*'Цены на металл '!$L$4*1.8</f>
        <v>458.49024000000003</v>
      </c>
    </row>
    <row r="629" spans="1:10" ht="14.95" customHeight="1">
      <c r="A629" s="7" t="s">
        <v>1824</v>
      </c>
      <c r="B629" s="92">
        <f>'Цены на металл '!$AC628*7.85*'Цены на металл '!A$3/1000*'Цены на металл '!A$4*1.25</f>
        <v>69.840468749999999</v>
      </c>
      <c r="C629" s="92">
        <f>'Цены на металл '!$AC628*7.85*'Цены на металл '!$B$3/1000*'Цены на металл '!$B$4*1.25</f>
        <v>90.792609374999984</v>
      </c>
      <c r="D629" s="92">
        <f>'Цены на металл '!$AC628*7.85*'Цены на металл '!C$3/1000*'Цены на металл '!C$4*1.25</f>
        <v>104.76070312499999</v>
      </c>
      <c r="E629" s="92">
        <f>'Цены на металл '!$AC628*7.85*'Цены на металл '!D$3/1000*'Цены на металл '!D$4*1.25</f>
        <v>125.71284374999999</v>
      </c>
      <c r="F629" s="92">
        <f>'Цены на металл '!$AC628*7.85*'Цены на металл '!E$3/1000*'Цены на металл '!E$4*1.25</f>
        <v>153.64903125000001</v>
      </c>
      <c r="G629" s="92">
        <f>'Цены на металл '!$AC628*7.85*'Цены на металл '!F$3/1000*'Цены на металл '!F$4*1.25</f>
        <v>195.55331249999998</v>
      </c>
      <c r="H629" s="124">
        <f>'Цены на металл '!$AC628*7.85/1000*('Цены на металл '!$H$4+'Цены на металл '!$H$5)*1.13</f>
        <v>198.14922899999996</v>
      </c>
      <c r="I629" s="124">
        <f>'Цены на металл '!$AC628*7.85/1000*('Цены на металл '!$H$4+'Цены на металл '!$H$5)*1.13</f>
        <v>198.14922899999996</v>
      </c>
      <c r="J629" s="152">
        <f>'Цены на металл '!$AC628*7.85*'Цены на металл '!L$3/1000*'Цены на металл '!$L$4*1.8</f>
        <v>594.13824</v>
      </c>
    </row>
    <row r="630" spans="1:10" ht="14.95" customHeight="1">
      <c r="A630" s="9" t="s">
        <v>1826</v>
      </c>
      <c r="B630" s="130"/>
      <c r="C630" s="130"/>
      <c r="D630" s="130"/>
      <c r="E630" s="130"/>
      <c r="F630" s="130"/>
      <c r="G630" s="130"/>
      <c r="H630" s="124">
        <f>'Цены на металл '!AA629*('Цены на металл '!$H$4+'Цены на металл '!$H$5)*1.4+'Цены на металл '!AB629</f>
        <v>0</v>
      </c>
      <c r="I630" s="124">
        <f>'Цены на металл '!AB629*('Цены на металл '!$H$4+'Цены на металл '!$H$5)*1.4+'Цены на металл '!AC629</f>
        <v>0</v>
      </c>
      <c r="J630" s="125">
        <f t="shared" ref="J630:J676" si="75">C630*3</f>
        <v>0</v>
      </c>
    </row>
    <row r="631" spans="1:10" ht="14.95" customHeight="1">
      <c r="A631" s="10" t="s">
        <v>1825</v>
      </c>
      <c r="B631" s="92">
        <f>C631*0.9</f>
        <v>34.366500000000002</v>
      </c>
      <c r="C631" s="92">
        <f>('Цены на металл '!AA630*'Цены на металл '!$B$4*1.4)+'Цены на металл '!AB630</f>
        <v>38.185000000000002</v>
      </c>
      <c r="D631" s="92">
        <f t="shared" ref="D631:D676" si="76">C631*1.1</f>
        <v>42.003500000000003</v>
      </c>
      <c r="E631" s="92">
        <f>C631*1.2</f>
        <v>45.822000000000003</v>
      </c>
      <c r="F631" s="92">
        <f>D631*1.2</f>
        <v>50.404200000000003</v>
      </c>
      <c r="G631" s="92">
        <f>E631*1.2</f>
        <v>54.986400000000003</v>
      </c>
      <c r="H631" s="124">
        <f t="shared" ref="H631:H676" si="77">C631*2</f>
        <v>76.37</v>
      </c>
      <c r="I631" s="124">
        <f t="shared" ref="I631:I676" si="78">D631*2</f>
        <v>84.007000000000005</v>
      </c>
      <c r="J631" s="125">
        <f t="shared" si="75"/>
        <v>114.55500000000001</v>
      </c>
    </row>
    <row r="632" spans="1:10" ht="14.95" customHeight="1">
      <c r="A632" s="10" t="s">
        <v>1871</v>
      </c>
      <c r="B632" s="92">
        <f t="shared" ref="B632:B676" si="79">C632*0.9</f>
        <v>34.448399999999999</v>
      </c>
      <c r="C632" s="92">
        <f>('Цены на металл '!AA631*'Цены на металл '!$B$4*1.4)+'Цены на металл '!AB631</f>
        <v>38.275999999999996</v>
      </c>
      <c r="D632" s="92">
        <f t="shared" si="76"/>
        <v>42.1036</v>
      </c>
      <c r="E632" s="92">
        <f t="shared" ref="E632:G676" si="80">C632*1.2</f>
        <v>45.931199999999997</v>
      </c>
      <c r="F632" s="92">
        <f t="shared" si="80"/>
        <v>50.524319999999996</v>
      </c>
      <c r="G632" s="92">
        <f t="shared" si="80"/>
        <v>55.117439999999995</v>
      </c>
      <c r="H632" s="124">
        <f t="shared" si="77"/>
        <v>76.551999999999992</v>
      </c>
      <c r="I632" s="124">
        <f t="shared" si="78"/>
        <v>84.2072</v>
      </c>
      <c r="J632" s="125">
        <f t="shared" si="75"/>
        <v>114.82799999999999</v>
      </c>
    </row>
    <row r="633" spans="1:10" ht="14.95" customHeight="1">
      <c r="A633" s="10" t="s">
        <v>1827</v>
      </c>
      <c r="B633" s="92">
        <f t="shared" si="79"/>
        <v>34.448399999999999</v>
      </c>
      <c r="C633" s="92">
        <f>('Цены на металл '!AA632*'Цены на металл '!$B$4*1.4)+'Цены на металл '!AB632</f>
        <v>38.275999999999996</v>
      </c>
      <c r="D633" s="92">
        <f t="shared" si="76"/>
        <v>42.1036</v>
      </c>
      <c r="E633" s="92">
        <f t="shared" si="80"/>
        <v>45.931199999999997</v>
      </c>
      <c r="F633" s="92">
        <f t="shared" si="80"/>
        <v>50.524319999999996</v>
      </c>
      <c r="G633" s="92">
        <f t="shared" si="80"/>
        <v>55.117439999999995</v>
      </c>
      <c r="H633" s="124">
        <f t="shared" si="77"/>
        <v>76.551999999999992</v>
      </c>
      <c r="I633" s="124">
        <f t="shared" si="78"/>
        <v>84.2072</v>
      </c>
      <c r="J633" s="125">
        <f t="shared" si="75"/>
        <v>114.82799999999999</v>
      </c>
    </row>
    <row r="634" spans="1:10" ht="14.95" customHeight="1">
      <c r="A634" s="10" t="s">
        <v>1828</v>
      </c>
      <c r="B634" s="92">
        <f t="shared" si="79"/>
        <v>33.957000000000001</v>
      </c>
      <c r="C634" s="92">
        <f>('Цены на металл '!AA633*'Цены на металл '!$B$4*1.4)+'Цены на металл '!AB633</f>
        <v>37.729999999999997</v>
      </c>
      <c r="D634" s="92">
        <f t="shared" si="76"/>
        <v>41.503</v>
      </c>
      <c r="E634" s="92">
        <f t="shared" si="80"/>
        <v>45.275999999999996</v>
      </c>
      <c r="F634" s="92">
        <f t="shared" si="80"/>
        <v>49.803599999999996</v>
      </c>
      <c r="G634" s="92">
        <f t="shared" si="80"/>
        <v>54.331199999999995</v>
      </c>
      <c r="H634" s="124">
        <f t="shared" si="77"/>
        <v>75.459999999999994</v>
      </c>
      <c r="I634" s="124">
        <f t="shared" si="78"/>
        <v>83.006</v>
      </c>
      <c r="J634" s="125">
        <f t="shared" si="75"/>
        <v>113.19</v>
      </c>
    </row>
    <row r="635" spans="1:10" ht="14.95" customHeight="1">
      <c r="A635" s="10" t="s">
        <v>1829</v>
      </c>
      <c r="B635" s="92">
        <f t="shared" si="79"/>
        <v>35.513100000000001</v>
      </c>
      <c r="C635" s="92">
        <f>('Цены на металл '!AA634*'Цены на металл '!$B$4*1.4)+'Цены на металл '!AB634</f>
        <v>39.459000000000003</v>
      </c>
      <c r="D635" s="92">
        <f t="shared" si="76"/>
        <v>43.404900000000005</v>
      </c>
      <c r="E635" s="92">
        <f t="shared" si="80"/>
        <v>47.3508</v>
      </c>
      <c r="F635" s="92">
        <f t="shared" si="80"/>
        <v>52.085880000000003</v>
      </c>
      <c r="G635" s="92">
        <f t="shared" si="80"/>
        <v>56.820959999999999</v>
      </c>
      <c r="H635" s="124">
        <f t="shared" si="77"/>
        <v>78.918000000000006</v>
      </c>
      <c r="I635" s="124">
        <f t="shared" si="78"/>
        <v>86.80980000000001</v>
      </c>
      <c r="J635" s="125">
        <f t="shared" si="75"/>
        <v>118.37700000000001</v>
      </c>
    </row>
    <row r="636" spans="1:10" ht="14.95" customHeight="1">
      <c r="A636" s="10" t="s">
        <v>1830</v>
      </c>
      <c r="B636" s="92">
        <f t="shared" si="79"/>
        <v>36.332100000000004</v>
      </c>
      <c r="C636" s="92">
        <f>('Цены на металл '!AA635*'Цены на металл '!$B$4*1.4)+'Цены на металл '!AB635</f>
        <v>40.369</v>
      </c>
      <c r="D636" s="92">
        <f t="shared" si="76"/>
        <v>44.405900000000003</v>
      </c>
      <c r="E636" s="92">
        <f t="shared" si="80"/>
        <v>48.442799999999998</v>
      </c>
      <c r="F636" s="92">
        <f t="shared" si="80"/>
        <v>53.287080000000003</v>
      </c>
      <c r="G636" s="92">
        <f t="shared" si="80"/>
        <v>58.131359999999994</v>
      </c>
      <c r="H636" s="124">
        <f t="shared" si="77"/>
        <v>80.738</v>
      </c>
      <c r="I636" s="124">
        <f t="shared" si="78"/>
        <v>88.811800000000005</v>
      </c>
      <c r="J636" s="125">
        <f t="shared" si="75"/>
        <v>121.107</v>
      </c>
    </row>
    <row r="637" spans="1:10" ht="14.95" customHeight="1">
      <c r="A637" s="10" t="s">
        <v>1831</v>
      </c>
      <c r="B637" s="92">
        <f t="shared" si="79"/>
        <v>36.823500000000003</v>
      </c>
      <c r="C637" s="92">
        <f>('Цены на металл '!AA636*'Цены на металл '!$B$4*1.4)+'Цены на металл '!AB636</f>
        <v>40.914999999999999</v>
      </c>
      <c r="D637" s="92">
        <f t="shared" si="76"/>
        <v>45.006500000000003</v>
      </c>
      <c r="E637" s="92">
        <f t="shared" si="80"/>
        <v>49.097999999999999</v>
      </c>
      <c r="F637" s="92">
        <f t="shared" si="80"/>
        <v>54.007800000000003</v>
      </c>
      <c r="G637" s="92">
        <f t="shared" si="80"/>
        <v>58.917599999999993</v>
      </c>
      <c r="H637" s="124">
        <f t="shared" si="77"/>
        <v>81.83</v>
      </c>
      <c r="I637" s="124">
        <f t="shared" si="78"/>
        <v>90.013000000000005</v>
      </c>
      <c r="J637" s="125">
        <f t="shared" si="75"/>
        <v>122.745</v>
      </c>
    </row>
    <row r="638" spans="1:10" ht="14.95" customHeight="1">
      <c r="A638" s="10" t="s">
        <v>1832</v>
      </c>
      <c r="B638" s="92">
        <f t="shared" si="79"/>
        <v>37.888199999999998</v>
      </c>
      <c r="C638" s="92">
        <f>('Цены на металл '!AA637*'Цены на металл '!$B$4*1.4)+'Цены на металл '!AB637</f>
        <v>42.097999999999999</v>
      </c>
      <c r="D638" s="92">
        <f t="shared" si="76"/>
        <v>46.3078</v>
      </c>
      <c r="E638" s="92">
        <f t="shared" si="80"/>
        <v>50.517599999999995</v>
      </c>
      <c r="F638" s="92">
        <f t="shared" si="80"/>
        <v>55.569359999999996</v>
      </c>
      <c r="G638" s="92">
        <f t="shared" si="80"/>
        <v>60.621119999999991</v>
      </c>
      <c r="H638" s="124">
        <f t="shared" si="77"/>
        <v>84.195999999999998</v>
      </c>
      <c r="I638" s="124">
        <f t="shared" si="78"/>
        <v>92.615600000000001</v>
      </c>
      <c r="J638" s="125">
        <f t="shared" si="75"/>
        <v>126.294</v>
      </c>
    </row>
    <row r="639" spans="1:10" ht="14.95" customHeight="1">
      <c r="A639" s="10" t="s">
        <v>1833</v>
      </c>
      <c r="B639" s="92">
        <f t="shared" si="79"/>
        <v>39.444299999999998</v>
      </c>
      <c r="C639" s="92">
        <f>('Цены на металл '!AA638*'Цены на металл '!$B$4*1.4)+'Цены на металл '!AB638</f>
        <v>43.826999999999998</v>
      </c>
      <c r="D639" s="92">
        <f t="shared" si="76"/>
        <v>48.209700000000005</v>
      </c>
      <c r="E639" s="92">
        <f t="shared" si="80"/>
        <v>52.592399999999998</v>
      </c>
      <c r="F639" s="92">
        <f t="shared" si="80"/>
        <v>57.851640000000003</v>
      </c>
      <c r="G639" s="92">
        <f t="shared" si="80"/>
        <v>63.110879999999995</v>
      </c>
      <c r="H639" s="124">
        <f t="shared" si="77"/>
        <v>87.653999999999996</v>
      </c>
      <c r="I639" s="124">
        <f t="shared" si="78"/>
        <v>96.41940000000001</v>
      </c>
      <c r="J639" s="125">
        <f t="shared" si="75"/>
        <v>131.48099999999999</v>
      </c>
    </row>
    <row r="640" spans="1:10" ht="14.95" customHeight="1">
      <c r="A640" s="10" t="s">
        <v>1834</v>
      </c>
      <c r="B640" s="92">
        <f t="shared" si="79"/>
        <v>36.495900000000006</v>
      </c>
      <c r="C640" s="92">
        <f>('Цены на металл '!AA639*'Цены на металл '!$B$4*1.4)+'Цены на металл '!AB639</f>
        <v>40.551000000000002</v>
      </c>
      <c r="D640" s="92">
        <f t="shared" si="76"/>
        <v>44.606100000000005</v>
      </c>
      <c r="E640" s="92">
        <f t="shared" si="80"/>
        <v>48.661200000000001</v>
      </c>
      <c r="F640" s="92">
        <f t="shared" si="80"/>
        <v>53.527320000000003</v>
      </c>
      <c r="G640" s="92">
        <f t="shared" si="80"/>
        <v>58.393439999999998</v>
      </c>
      <c r="H640" s="124">
        <f t="shared" si="77"/>
        <v>81.102000000000004</v>
      </c>
      <c r="I640" s="124">
        <f t="shared" si="78"/>
        <v>89.21220000000001</v>
      </c>
      <c r="J640" s="125">
        <f t="shared" si="75"/>
        <v>121.65300000000001</v>
      </c>
    </row>
    <row r="641" spans="1:10" ht="14.95" customHeight="1">
      <c r="A641" s="10" t="s">
        <v>1835</v>
      </c>
      <c r="B641" s="92">
        <f t="shared" si="79"/>
        <v>39.526200000000003</v>
      </c>
      <c r="C641" s="92">
        <f>('Цены на металл '!AA640*'Цены на металл '!$B$4*1.4)+'Цены на металл '!AB640</f>
        <v>43.917999999999999</v>
      </c>
      <c r="D641" s="92">
        <f t="shared" si="76"/>
        <v>48.309800000000003</v>
      </c>
      <c r="E641" s="92">
        <f t="shared" si="80"/>
        <v>52.701599999999999</v>
      </c>
      <c r="F641" s="92">
        <f t="shared" si="80"/>
        <v>57.971760000000003</v>
      </c>
      <c r="G641" s="92">
        <f t="shared" si="80"/>
        <v>63.241919999999993</v>
      </c>
      <c r="H641" s="124">
        <f t="shared" si="77"/>
        <v>87.835999999999999</v>
      </c>
      <c r="I641" s="124">
        <f t="shared" si="78"/>
        <v>96.619600000000005</v>
      </c>
      <c r="J641" s="125">
        <f t="shared" si="75"/>
        <v>131.75399999999999</v>
      </c>
    </row>
    <row r="642" spans="1:10" ht="14.95" customHeight="1">
      <c r="A642" s="10" t="s">
        <v>1836</v>
      </c>
      <c r="B642" s="92">
        <f t="shared" si="79"/>
        <v>41.573700000000002</v>
      </c>
      <c r="C642" s="92">
        <f>('Цены на металл '!AA641*'Цены на металл '!$B$4*1.4)+'Цены на металл '!AB641</f>
        <v>46.192999999999998</v>
      </c>
      <c r="D642" s="92">
        <f t="shared" si="76"/>
        <v>50.8123</v>
      </c>
      <c r="E642" s="92">
        <f t="shared" si="80"/>
        <v>55.431599999999996</v>
      </c>
      <c r="F642" s="92">
        <f t="shared" si="80"/>
        <v>60.974759999999996</v>
      </c>
      <c r="G642" s="92">
        <f t="shared" si="80"/>
        <v>66.517919999999989</v>
      </c>
      <c r="H642" s="124">
        <f t="shared" si="77"/>
        <v>92.385999999999996</v>
      </c>
      <c r="I642" s="124">
        <f t="shared" si="78"/>
        <v>101.6246</v>
      </c>
      <c r="J642" s="125">
        <f t="shared" si="75"/>
        <v>138.57900000000001</v>
      </c>
    </row>
    <row r="643" spans="1:10" ht="14.95" customHeight="1">
      <c r="A643" s="10" t="s">
        <v>1837</v>
      </c>
      <c r="B643" s="92">
        <f t="shared" si="79"/>
        <v>46.569600000000001</v>
      </c>
      <c r="C643" s="92">
        <f>('Цены на металл '!AA642*'Цены на металл '!$B$4*1.4)+'Цены на металл '!AB642</f>
        <v>51.744</v>
      </c>
      <c r="D643" s="92">
        <f t="shared" si="76"/>
        <v>56.918400000000005</v>
      </c>
      <c r="E643" s="92">
        <f t="shared" si="80"/>
        <v>62.092799999999997</v>
      </c>
      <c r="F643" s="92">
        <f t="shared" si="80"/>
        <v>68.302080000000004</v>
      </c>
      <c r="G643" s="92">
        <f t="shared" si="80"/>
        <v>74.511359999999996</v>
      </c>
      <c r="H643" s="124">
        <f t="shared" si="77"/>
        <v>103.488</v>
      </c>
      <c r="I643" s="124">
        <f t="shared" si="78"/>
        <v>113.83680000000001</v>
      </c>
      <c r="J643" s="125">
        <f t="shared" si="75"/>
        <v>155.232</v>
      </c>
    </row>
    <row r="644" spans="1:10" ht="14.95" customHeight="1">
      <c r="A644" s="10" t="s">
        <v>1838</v>
      </c>
      <c r="B644" s="92">
        <f t="shared" si="79"/>
        <v>37.560600000000001</v>
      </c>
      <c r="C644" s="92">
        <f>('Цены на металл '!AA643*'Цены на металл '!$B$4*1.4)+'Цены на металл '!AB643</f>
        <v>41.734000000000002</v>
      </c>
      <c r="D644" s="92">
        <f t="shared" si="76"/>
        <v>45.907400000000003</v>
      </c>
      <c r="E644" s="92">
        <f t="shared" si="80"/>
        <v>50.080800000000004</v>
      </c>
      <c r="F644" s="92">
        <f t="shared" si="80"/>
        <v>55.088880000000003</v>
      </c>
      <c r="G644" s="92">
        <f t="shared" si="80"/>
        <v>60.096960000000003</v>
      </c>
      <c r="H644" s="124">
        <f t="shared" si="77"/>
        <v>83.468000000000004</v>
      </c>
      <c r="I644" s="124">
        <f t="shared" si="78"/>
        <v>91.814800000000005</v>
      </c>
      <c r="J644" s="125">
        <f t="shared" si="75"/>
        <v>125.202</v>
      </c>
    </row>
    <row r="645" spans="1:10" ht="14.95" customHeight="1">
      <c r="A645" s="10" t="s">
        <v>1839</v>
      </c>
      <c r="B645" s="92">
        <f t="shared" si="79"/>
        <v>38.789100000000005</v>
      </c>
      <c r="C645" s="92">
        <f>('Цены на металл '!AA644*'Цены на металл '!$B$4*1.4)+'Цены на металл '!AB644</f>
        <v>43.099000000000004</v>
      </c>
      <c r="D645" s="92">
        <f t="shared" si="76"/>
        <v>47.40890000000001</v>
      </c>
      <c r="E645" s="92">
        <f t="shared" si="80"/>
        <v>51.718800000000002</v>
      </c>
      <c r="F645" s="92">
        <f t="shared" si="80"/>
        <v>56.89068000000001</v>
      </c>
      <c r="G645" s="92">
        <f t="shared" si="80"/>
        <v>62.062559999999998</v>
      </c>
      <c r="H645" s="124">
        <f t="shared" si="77"/>
        <v>86.198000000000008</v>
      </c>
      <c r="I645" s="124">
        <f t="shared" si="78"/>
        <v>94.81780000000002</v>
      </c>
      <c r="J645" s="125">
        <f t="shared" si="75"/>
        <v>129.29700000000003</v>
      </c>
    </row>
    <row r="646" spans="1:10" ht="14.95" customHeight="1">
      <c r="A646" s="10" t="s">
        <v>1840</v>
      </c>
      <c r="B646" s="92">
        <f t="shared" si="79"/>
        <v>39.6081</v>
      </c>
      <c r="C646" s="92">
        <f>('Цены на металл '!AA645*'Цены на металл '!$B$4*1.4)+'Цены на металл '!AB645</f>
        <v>44.009</v>
      </c>
      <c r="D646" s="92">
        <f t="shared" si="76"/>
        <v>48.409900000000007</v>
      </c>
      <c r="E646" s="92">
        <f t="shared" si="80"/>
        <v>52.8108</v>
      </c>
      <c r="F646" s="92">
        <f t="shared" si="80"/>
        <v>58.091880000000003</v>
      </c>
      <c r="G646" s="92">
        <f t="shared" si="80"/>
        <v>63.372959999999999</v>
      </c>
      <c r="H646" s="124">
        <f t="shared" si="77"/>
        <v>88.018000000000001</v>
      </c>
      <c r="I646" s="124">
        <f t="shared" si="78"/>
        <v>96.819800000000015</v>
      </c>
      <c r="J646" s="125">
        <f t="shared" si="75"/>
        <v>132.02699999999999</v>
      </c>
    </row>
    <row r="647" spans="1:10" ht="14.95" customHeight="1">
      <c r="A647" s="10" t="s">
        <v>1841</v>
      </c>
      <c r="B647" s="92">
        <f t="shared" si="79"/>
        <v>41.246099999999998</v>
      </c>
      <c r="C647" s="92">
        <f>('Цены на металл '!AA646*'Цены на металл '!$B$4*1.4)+'Цены на металл '!AB646</f>
        <v>45.829000000000001</v>
      </c>
      <c r="D647" s="92">
        <f t="shared" si="76"/>
        <v>50.411900000000003</v>
      </c>
      <c r="E647" s="92">
        <f t="shared" si="80"/>
        <v>54.994799999999998</v>
      </c>
      <c r="F647" s="92">
        <f t="shared" si="80"/>
        <v>60.494280000000003</v>
      </c>
      <c r="G647" s="92">
        <f t="shared" si="80"/>
        <v>65.993759999999995</v>
      </c>
      <c r="H647" s="124">
        <f t="shared" si="77"/>
        <v>91.658000000000001</v>
      </c>
      <c r="I647" s="124">
        <f t="shared" si="78"/>
        <v>100.82380000000001</v>
      </c>
      <c r="J647" s="125">
        <f t="shared" si="75"/>
        <v>137.48699999999999</v>
      </c>
    </row>
    <row r="648" spans="1:10" ht="14.95" customHeight="1">
      <c r="A648" s="10" t="s">
        <v>1842</v>
      </c>
      <c r="B648" s="92">
        <f t="shared" si="79"/>
        <v>43.621199999999995</v>
      </c>
      <c r="C648" s="92">
        <f>('Цены на металл '!AA647*'Цены на металл '!$B$4*1.4)+'Цены на металл '!AB647</f>
        <v>48.467999999999996</v>
      </c>
      <c r="D648" s="92">
        <f t="shared" si="76"/>
        <v>53.314799999999998</v>
      </c>
      <c r="E648" s="92">
        <f t="shared" si="80"/>
        <v>58.161599999999993</v>
      </c>
      <c r="F648" s="92">
        <f t="shared" si="80"/>
        <v>63.977759999999996</v>
      </c>
      <c r="G648" s="92">
        <f t="shared" si="80"/>
        <v>69.793919999999986</v>
      </c>
      <c r="H648" s="124">
        <f t="shared" si="77"/>
        <v>96.935999999999993</v>
      </c>
      <c r="I648" s="124">
        <f t="shared" si="78"/>
        <v>106.6296</v>
      </c>
      <c r="J648" s="125">
        <f t="shared" si="75"/>
        <v>145.404</v>
      </c>
    </row>
    <row r="649" spans="1:10" ht="14.95" customHeight="1">
      <c r="A649" s="10" t="s">
        <v>1843</v>
      </c>
      <c r="B649" s="92">
        <f t="shared" si="79"/>
        <v>51.811199999999999</v>
      </c>
      <c r="C649" s="92">
        <f>('Цены на металл '!AA648*'Цены на металл '!$B$4*1.4)+'Цены на металл '!AB648</f>
        <v>57.567999999999998</v>
      </c>
      <c r="D649" s="92">
        <f t="shared" si="76"/>
        <v>63.324800000000003</v>
      </c>
      <c r="E649" s="92">
        <f t="shared" si="80"/>
        <v>69.081599999999995</v>
      </c>
      <c r="F649" s="92">
        <f t="shared" si="80"/>
        <v>75.989760000000004</v>
      </c>
      <c r="G649" s="92">
        <f t="shared" si="80"/>
        <v>82.897919999999985</v>
      </c>
      <c r="H649" s="124">
        <f t="shared" si="77"/>
        <v>115.136</v>
      </c>
      <c r="I649" s="124">
        <f t="shared" si="78"/>
        <v>126.64960000000001</v>
      </c>
      <c r="J649" s="125">
        <f t="shared" si="75"/>
        <v>172.70400000000001</v>
      </c>
    </row>
    <row r="650" spans="1:10" ht="14.95" customHeight="1">
      <c r="A650" s="10" t="s">
        <v>1844</v>
      </c>
      <c r="B650" s="92">
        <f t="shared" si="79"/>
        <v>55.824300000000001</v>
      </c>
      <c r="C650" s="92">
        <f>('Цены на металл '!AA649*'Цены на металл '!$B$4*1.4)+'Цены на металл '!AB649</f>
        <v>62.027000000000001</v>
      </c>
      <c r="D650" s="92">
        <f t="shared" si="76"/>
        <v>68.229700000000008</v>
      </c>
      <c r="E650" s="92">
        <f t="shared" si="80"/>
        <v>74.432400000000001</v>
      </c>
      <c r="F650" s="92">
        <f t="shared" si="80"/>
        <v>81.875640000000004</v>
      </c>
      <c r="G650" s="92">
        <f t="shared" si="80"/>
        <v>89.318879999999993</v>
      </c>
      <c r="H650" s="124">
        <f t="shared" si="77"/>
        <v>124.054</v>
      </c>
      <c r="I650" s="124">
        <f t="shared" si="78"/>
        <v>136.45940000000002</v>
      </c>
      <c r="J650" s="125">
        <f t="shared" si="75"/>
        <v>186.08100000000002</v>
      </c>
    </row>
    <row r="651" spans="1:10" ht="14.95" customHeight="1">
      <c r="A651" s="10" t="s">
        <v>1845</v>
      </c>
      <c r="B651" s="92">
        <f t="shared" si="79"/>
        <v>56.07</v>
      </c>
      <c r="C651" s="92">
        <f>('Цены на металл '!AA650*'Цены на металл '!$B$4*1.4)+'Цены на металл '!AB650</f>
        <v>62.3</v>
      </c>
      <c r="D651" s="92">
        <f t="shared" si="76"/>
        <v>68.53</v>
      </c>
      <c r="E651" s="92">
        <f t="shared" si="80"/>
        <v>74.759999999999991</v>
      </c>
      <c r="F651" s="92">
        <f t="shared" si="80"/>
        <v>82.236000000000004</v>
      </c>
      <c r="G651" s="92">
        <f t="shared" si="80"/>
        <v>89.711999999999989</v>
      </c>
      <c r="H651" s="124">
        <f t="shared" si="77"/>
        <v>124.6</v>
      </c>
      <c r="I651" s="124">
        <f t="shared" si="78"/>
        <v>137.06</v>
      </c>
      <c r="J651" s="125">
        <f t="shared" si="75"/>
        <v>186.89999999999998</v>
      </c>
    </row>
    <row r="652" spans="1:10" ht="14.95" customHeight="1">
      <c r="A652" s="10" t="s">
        <v>1846</v>
      </c>
      <c r="B652" s="92">
        <f t="shared" si="79"/>
        <v>58.527000000000001</v>
      </c>
      <c r="C652" s="92">
        <f>('Цены на металл '!AA651*'Цены на металл '!$B$4*1.4)+'Цены на металл '!AB651</f>
        <v>65.03</v>
      </c>
      <c r="D652" s="92">
        <f t="shared" si="76"/>
        <v>71.533000000000001</v>
      </c>
      <c r="E652" s="92">
        <f t="shared" si="80"/>
        <v>78.036000000000001</v>
      </c>
      <c r="F652" s="92">
        <f t="shared" si="80"/>
        <v>85.839600000000004</v>
      </c>
      <c r="G652" s="92">
        <f t="shared" si="80"/>
        <v>93.643199999999993</v>
      </c>
      <c r="H652" s="124">
        <f t="shared" si="77"/>
        <v>130.06</v>
      </c>
      <c r="I652" s="124">
        <f t="shared" si="78"/>
        <v>143.066</v>
      </c>
      <c r="J652" s="125">
        <f t="shared" si="75"/>
        <v>195.09</v>
      </c>
    </row>
    <row r="653" spans="1:10" ht="14.95" customHeight="1">
      <c r="A653" s="10" t="s">
        <v>1847</v>
      </c>
      <c r="B653" s="92">
        <f t="shared" si="79"/>
        <v>60.164999999999999</v>
      </c>
      <c r="C653" s="92">
        <f>('Цены на металл '!AA652*'Цены на металл '!$B$4*1.4)+'Цены на металл '!AB652</f>
        <v>66.849999999999994</v>
      </c>
      <c r="D653" s="92">
        <f t="shared" si="76"/>
        <v>73.534999999999997</v>
      </c>
      <c r="E653" s="92">
        <f t="shared" si="80"/>
        <v>80.219999999999985</v>
      </c>
      <c r="F653" s="92">
        <f t="shared" si="80"/>
        <v>88.24199999999999</v>
      </c>
      <c r="G653" s="92">
        <f t="shared" si="80"/>
        <v>96.263999999999982</v>
      </c>
      <c r="H653" s="124">
        <f t="shared" si="77"/>
        <v>133.69999999999999</v>
      </c>
      <c r="I653" s="124">
        <f t="shared" si="78"/>
        <v>147.07</v>
      </c>
      <c r="J653" s="125">
        <f t="shared" si="75"/>
        <v>200.54999999999998</v>
      </c>
    </row>
    <row r="654" spans="1:10" ht="14.95" customHeight="1">
      <c r="A654" s="10" t="s">
        <v>1848</v>
      </c>
      <c r="B654" s="92">
        <f t="shared" si="79"/>
        <v>64.260000000000005</v>
      </c>
      <c r="C654" s="92">
        <f>('Цены на металл '!AA653*'Цены на металл '!$B$4*1.4)+'Цены на металл '!AB653</f>
        <v>71.400000000000006</v>
      </c>
      <c r="D654" s="92">
        <f t="shared" si="76"/>
        <v>78.540000000000006</v>
      </c>
      <c r="E654" s="92">
        <f t="shared" si="80"/>
        <v>85.68</v>
      </c>
      <c r="F654" s="92">
        <f t="shared" si="80"/>
        <v>94.248000000000005</v>
      </c>
      <c r="G654" s="92">
        <f t="shared" si="80"/>
        <v>102.816</v>
      </c>
      <c r="H654" s="124">
        <f t="shared" si="77"/>
        <v>142.80000000000001</v>
      </c>
      <c r="I654" s="124">
        <f t="shared" si="78"/>
        <v>157.08000000000001</v>
      </c>
      <c r="J654" s="125">
        <f t="shared" si="75"/>
        <v>214.20000000000002</v>
      </c>
    </row>
    <row r="655" spans="1:10" ht="14.95" customHeight="1">
      <c r="A655" s="10" t="s">
        <v>1849</v>
      </c>
      <c r="B655" s="92">
        <f t="shared" si="79"/>
        <v>72.45</v>
      </c>
      <c r="C655" s="92">
        <f>('Цены на металл '!AA654*'Цены на металл '!$B$4*1.4)+'Цены на металл '!AB654</f>
        <v>80.5</v>
      </c>
      <c r="D655" s="92">
        <f t="shared" si="76"/>
        <v>88.550000000000011</v>
      </c>
      <c r="E655" s="92">
        <f t="shared" si="80"/>
        <v>96.6</v>
      </c>
      <c r="F655" s="92">
        <f t="shared" si="80"/>
        <v>106.26</v>
      </c>
      <c r="G655" s="92">
        <f t="shared" si="80"/>
        <v>115.91999999999999</v>
      </c>
      <c r="H655" s="124">
        <f t="shared" si="77"/>
        <v>161</v>
      </c>
      <c r="I655" s="124">
        <f t="shared" si="78"/>
        <v>177.10000000000002</v>
      </c>
      <c r="J655" s="125">
        <f t="shared" si="75"/>
        <v>241.5</v>
      </c>
    </row>
    <row r="656" spans="1:10" ht="14.95" customHeight="1">
      <c r="A656" s="10" t="s">
        <v>1850</v>
      </c>
      <c r="B656" s="92">
        <f t="shared" si="79"/>
        <v>39.690000000000005</v>
      </c>
      <c r="C656" s="92">
        <f>('Цены на металл '!AA655*'Цены на металл '!$B$4*1.4)+'Цены на металл '!AB655</f>
        <v>44.1</v>
      </c>
      <c r="D656" s="92">
        <f t="shared" si="76"/>
        <v>48.510000000000005</v>
      </c>
      <c r="E656" s="92">
        <f t="shared" si="80"/>
        <v>52.92</v>
      </c>
      <c r="F656" s="92">
        <f t="shared" si="80"/>
        <v>58.212000000000003</v>
      </c>
      <c r="G656" s="92">
        <f t="shared" si="80"/>
        <v>63.503999999999998</v>
      </c>
      <c r="H656" s="124">
        <f t="shared" si="77"/>
        <v>88.2</v>
      </c>
      <c r="I656" s="124">
        <f t="shared" si="78"/>
        <v>97.02000000000001</v>
      </c>
      <c r="J656" s="125">
        <f t="shared" si="75"/>
        <v>132.30000000000001</v>
      </c>
    </row>
    <row r="657" spans="1:10" ht="14.95" customHeight="1">
      <c r="A657" s="10" t="s">
        <v>1851</v>
      </c>
      <c r="B657" s="92">
        <f t="shared" si="79"/>
        <v>41.328000000000003</v>
      </c>
      <c r="C657" s="92">
        <f>('Цены на металл '!AA656*'Цены на металл '!$B$4*1.4)+'Цены на металл '!AB656</f>
        <v>45.92</v>
      </c>
      <c r="D657" s="92">
        <f t="shared" si="76"/>
        <v>50.512000000000008</v>
      </c>
      <c r="E657" s="92">
        <f t="shared" si="80"/>
        <v>55.103999999999999</v>
      </c>
      <c r="F657" s="92">
        <f t="shared" si="80"/>
        <v>60.614400000000003</v>
      </c>
      <c r="G657" s="92">
        <f t="shared" si="80"/>
        <v>66.124799999999993</v>
      </c>
      <c r="H657" s="124">
        <f t="shared" si="77"/>
        <v>91.84</v>
      </c>
      <c r="I657" s="124">
        <f t="shared" si="78"/>
        <v>101.02400000000002</v>
      </c>
      <c r="J657" s="125">
        <f t="shared" si="75"/>
        <v>137.76</v>
      </c>
    </row>
    <row r="658" spans="1:10" ht="14.95" customHeight="1">
      <c r="A658" s="10" t="s">
        <v>1852</v>
      </c>
      <c r="B658" s="92">
        <f t="shared" si="79"/>
        <v>43.784999999999997</v>
      </c>
      <c r="C658" s="92">
        <f>('Цены на металл '!AA657*'Цены на металл '!$B$4*1.4)+'Цены на металл '!AB657</f>
        <v>48.65</v>
      </c>
      <c r="D658" s="92">
        <f t="shared" si="76"/>
        <v>53.515000000000001</v>
      </c>
      <c r="E658" s="92">
        <f t="shared" si="80"/>
        <v>58.379999999999995</v>
      </c>
      <c r="F658" s="92">
        <f t="shared" si="80"/>
        <v>64.218000000000004</v>
      </c>
      <c r="G658" s="92">
        <f t="shared" si="80"/>
        <v>70.055999999999997</v>
      </c>
      <c r="H658" s="124">
        <f t="shared" si="77"/>
        <v>97.3</v>
      </c>
      <c r="I658" s="124">
        <f t="shared" si="78"/>
        <v>107.03</v>
      </c>
      <c r="J658" s="125">
        <f t="shared" si="75"/>
        <v>145.94999999999999</v>
      </c>
    </row>
    <row r="659" spans="1:10" ht="14.95" customHeight="1">
      <c r="A659" s="10" t="s">
        <v>1853</v>
      </c>
      <c r="B659" s="92">
        <f t="shared" si="79"/>
        <v>44.604000000000006</v>
      </c>
      <c r="C659" s="92">
        <f>('Цены на металл '!AA658*'Цены на металл '!$B$4*1.4)+'Цены на металл '!AB658</f>
        <v>49.56</v>
      </c>
      <c r="D659" s="92">
        <f t="shared" si="76"/>
        <v>54.516000000000005</v>
      </c>
      <c r="E659" s="92">
        <f t="shared" si="80"/>
        <v>59.472000000000001</v>
      </c>
      <c r="F659" s="92">
        <f t="shared" si="80"/>
        <v>65.419200000000004</v>
      </c>
      <c r="G659" s="92">
        <f t="shared" si="80"/>
        <v>71.366399999999999</v>
      </c>
      <c r="H659" s="124">
        <f t="shared" si="77"/>
        <v>99.12</v>
      </c>
      <c r="I659" s="124">
        <f t="shared" si="78"/>
        <v>109.03200000000001</v>
      </c>
      <c r="J659" s="125">
        <f t="shared" si="75"/>
        <v>148.68</v>
      </c>
    </row>
    <row r="660" spans="1:10" ht="14.95" customHeight="1">
      <c r="A660" s="10" t="s">
        <v>1854</v>
      </c>
      <c r="B660" s="92">
        <f t="shared" si="79"/>
        <v>47.88</v>
      </c>
      <c r="C660" s="92">
        <f>('Цены на металл '!AA659*'Цены на металл '!$B$4*1.4)+'Цены на металл '!AB659</f>
        <v>53.2</v>
      </c>
      <c r="D660" s="92">
        <f t="shared" si="76"/>
        <v>58.52000000000001</v>
      </c>
      <c r="E660" s="92">
        <f t="shared" si="80"/>
        <v>63.84</v>
      </c>
      <c r="F660" s="92">
        <f t="shared" si="80"/>
        <v>70.224000000000004</v>
      </c>
      <c r="G660" s="92">
        <f t="shared" si="80"/>
        <v>76.608000000000004</v>
      </c>
      <c r="H660" s="124">
        <f t="shared" si="77"/>
        <v>106.4</v>
      </c>
      <c r="I660" s="124">
        <f t="shared" si="78"/>
        <v>117.04000000000002</v>
      </c>
      <c r="J660" s="125">
        <f t="shared" si="75"/>
        <v>159.60000000000002</v>
      </c>
    </row>
    <row r="661" spans="1:10" ht="14.95" customHeight="1">
      <c r="A661" s="10" t="s">
        <v>1855</v>
      </c>
      <c r="B661" s="92">
        <f t="shared" si="79"/>
        <v>51.975000000000001</v>
      </c>
      <c r="C661" s="92">
        <f>('Цены на металл '!AA660*'Цены на металл '!$B$4*1.4)+'Цены на металл '!AB660</f>
        <v>57.75</v>
      </c>
      <c r="D661" s="92">
        <f t="shared" si="76"/>
        <v>63.525000000000006</v>
      </c>
      <c r="E661" s="92">
        <f t="shared" si="80"/>
        <v>69.3</v>
      </c>
      <c r="F661" s="92">
        <f t="shared" si="80"/>
        <v>76.23</v>
      </c>
      <c r="G661" s="92">
        <f t="shared" si="80"/>
        <v>83.16</v>
      </c>
      <c r="H661" s="124">
        <f t="shared" si="77"/>
        <v>115.5</v>
      </c>
      <c r="I661" s="124">
        <f t="shared" si="78"/>
        <v>127.05000000000001</v>
      </c>
      <c r="J661" s="125">
        <f t="shared" si="75"/>
        <v>173.25</v>
      </c>
    </row>
    <row r="662" spans="1:10" ht="14.95" customHeight="1">
      <c r="A662" s="10" t="s">
        <v>1856</v>
      </c>
      <c r="B662" s="92">
        <f t="shared" si="79"/>
        <v>56.07</v>
      </c>
      <c r="C662" s="92">
        <f>('Цены на металл '!AA661*'Цены на металл '!$B$4*1.4)+'Цены на металл '!AB661</f>
        <v>62.3</v>
      </c>
      <c r="D662" s="92">
        <f t="shared" si="76"/>
        <v>68.53</v>
      </c>
      <c r="E662" s="92">
        <f t="shared" si="80"/>
        <v>74.759999999999991</v>
      </c>
      <c r="F662" s="92">
        <f t="shared" si="80"/>
        <v>82.236000000000004</v>
      </c>
      <c r="G662" s="92">
        <f t="shared" si="80"/>
        <v>89.711999999999989</v>
      </c>
      <c r="H662" s="124">
        <f t="shared" si="77"/>
        <v>124.6</v>
      </c>
      <c r="I662" s="124">
        <f t="shared" si="78"/>
        <v>137.06</v>
      </c>
      <c r="J662" s="125">
        <f t="shared" si="75"/>
        <v>186.89999999999998</v>
      </c>
    </row>
    <row r="663" spans="1:10" ht="14.95" customHeight="1">
      <c r="A663" s="10" t="s">
        <v>1857</v>
      </c>
      <c r="B663" s="92">
        <f t="shared" si="79"/>
        <v>41.737500000000004</v>
      </c>
      <c r="C663" s="92">
        <f>('Цены на металл '!AA662*'Цены на металл '!$B$4*1.4)+'Цены на металл '!AB662</f>
        <v>46.375</v>
      </c>
      <c r="D663" s="92">
        <f t="shared" si="76"/>
        <v>51.012500000000003</v>
      </c>
      <c r="E663" s="92">
        <f t="shared" si="80"/>
        <v>55.65</v>
      </c>
      <c r="F663" s="92">
        <f t="shared" si="80"/>
        <v>61.215000000000003</v>
      </c>
      <c r="G663" s="92">
        <f t="shared" si="80"/>
        <v>66.78</v>
      </c>
      <c r="H663" s="124">
        <f t="shared" si="77"/>
        <v>92.75</v>
      </c>
      <c r="I663" s="124">
        <f t="shared" si="78"/>
        <v>102.02500000000001</v>
      </c>
      <c r="J663" s="125">
        <f t="shared" si="75"/>
        <v>139.125</v>
      </c>
    </row>
    <row r="664" spans="1:10" ht="14.95" customHeight="1">
      <c r="A664" s="10" t="s">
        <v>1858</v>
      </c>
      <c r="B664" s="92">
        <f t="shared" si="79"/>
        <v>43.784999999999997</v>
      </c>
      <c r="C664" s="92">
        <f>('Цены на металл '!AA663*'Цены на металл '!$B$4*1.4)+'Цены на металл '!AB663</f>
        <v>48.65</v>
      </c>
      <c r="D664" s="92">
        <f t="shared" si="76"/>
        <v>53.515000000000001</v>
      </c>
      <c r="E664" s="92">
        <f t="shared" si="80"/>
        <v>58.379999999999995</v>
      </c>
      <c r="F664" s="92">
        <f t="shared" si="80"/>
        <v>64.218000000000004</v>
      </c>
      <c r="G664" s="92">
        <f t="shared" si="80"/>
        <v>70.055999999999997</v>
      </c>
      <c r="H664" s="124">
        <f t="shared" si="77"/>
        <v>97.3</v>
      </c>
      <c r="I664" s="124">
        <f t="shared" si="78"/>
        <v>107.03</v>
      </c>
      <c r="J664" s="125">
        <f t="shared" si="75"/>
        <v>145.94999999999999</v>
      </c>
    </row>
    <row r="665" spans="1:10" ht="14.95" customHeight="1">
      <c r="A665" s="10" t="s">
        <v>1859</v>
      </c>
      <c r="B665" s="92">
        <f t="shared" si="79"/>
        <v>47.88</v>
      </c>
      <c r="C665" s="92">
        <f>('Цены на металл '!AA664*'Цены на металл '!$B$4*1.4)+'Цены на металл '!AB664</f>
        <v>53.2</v>
      </c>
      <c r="D665" s="92">
        <f t="shared" si="76"/>
        <v>58.52000000000001</v>
      </c>
      <c r="E665" s="92">
        <f t="shared" si="80"/>
        <v>63.84</v>
      </c>
      <c r="F665" s="92">
        <f t="shared" si="80"/>
        <v>70.224000000000004</v>
      </c>
      <c r="G665" s="92">
        <f t="shared" si="80"/>
        <v>76.608000000000004</v>
      </c>
      <c r="H665" s="124">
        <f t="shared" si="77"/>
        <v>106.4</v>
      </c>
      <c r="I665" s="124">
        <f t="shared" si="78"/>
        <v>117.04000000000002</v>
      </c>
      <c r="J665" s="125">
        <f t="shared" si="75"/>
        <v>159.60000000000002</v>
      </c>
    </row>
    <row r="666" spans="1:10" ht="14.95" customHeight="1">
      <c r="A666" s="10" t="s">
        <v>1860</v>
      </c>
      <c r="B666" s="92">
        <f t="shared" si="79"/>
        <v>47.88</v>
      </c>
      <c r="C666" s="92">
        <f>('Цены на металл '!AA665*'Цены на металл '!$B$4*1.4)+'Цены на металл '!AB665</f>
        <v>53.2</v>
      </c>
      <c r="D666" s="92">
        <f t="shared" si="76"/>
        <v>58.52000000000001</v>
      </c>
      <c r="E666" s="92">
        <f t="shared" si="80"/>
        <v>63.84</v>
      </c>
      <c r="F666" s="92">
        <f t="shared" si="80"/>
        <v>70.224000000000004</v>
      </c>
      <c r="G666" s="92">
        <f t="shared" si="80"/>
        <v>76.608000000000004</v>
      </c>
      <c r="H666" s="124">
        <f t="shared" si="77"/>
        <v>106.4</v>
      </c>
      <c r="I666" s="124">
        <f t="shared" si="78"/>
        <v>117.04000000000002</v>
      </c>
      <c r="J666" s="125">
        <f t="shared" si="75"/>
        <v>159.60000000000002</v>
      </c>
    </row>
    <row r="667" spans="1:10" ht="14.95" customHeight="1">
      <c r="A667" s="10" t="s">
        <v>1861</v>
      </c>
      <c r="B667" s="92">
        <f t="shared" si="79"/>
        <v>52.056899999999999</v>
      </c>
      <c r="C667" s="92">
        <f>('Цены на металл '!AA666*'Цены на металл '!$B$4*1.4)+'Цены на металл '!AB666</f>
        <v>57.841000000000001</v>
      </c>
      <c r="D667" s="92">
        <f t="shared" si="76"/>
        <v>63.625100000000003</v>
      </c>
      <c r="E667" s="92">
        <f t="shared" si="80"/>
        <v>69.409199999999998</v>
      </c>
      <c r="F667" s="92">
        <f t="shared" si="80"/>
        <v>76.350120000000004</v>
      </c>
      <c r="G667" s="92">
        <f t="shared" si="80"/>
        <v>83.291039999999995</v>
      </c>
      <c r="H667" s="124">
        <f t="shared" si="77"/>
        <v>115.682</v>
      </c>
      <c r="I667" s="124">
        <f t="shared" si="78"/>
        <v>127.25020000000001</v>
      </c>
      <c r="J667" s="125">
        <f t="shared" si="75"/>
        <v>173.523</v>
      </c>
    </row>
    <row r="668" spans="1:10" ht="14.95" customHeight="1">
      <c r="A668" s="10" t="s">
        <v>1862</v>
      </c>
      <c r="B668" s="92">
        <f t="shared" si="79"/>
        <v>52.056899999999999</v>
      </c>
      <c r="C668" s="92">
        <f>('Цены на металл '!AA667*'Цены на металл '!$B$4*1.4)+'Цены на металл '!AB667</f>
        <v>57.841000000000001</v>
      </c>
      <c r="D668" s="92">
        <f t="shared" si="76"/>
        <v>63.625100000000003</v>
      </c>
      <c r="E668" s="92">
        <f t="shared" si="80"/>
        <v>69.409199999999998</v>
      </c>
      <c r="F668" s="92">
        <f t="shared" si="80"/>
        <v>76.350120000000004</v>
      </c>
      <c r="G668" s="92">
        <f t="shared" si="80"/>
        <v>83.291039999999995</v>
      </c>
      <c r="H668" s="124">
        <f t="shared" si="77"/>
        <v>115.682</v>
      </c>
      <c r="I668" s="124">
        <f t="shared" si="78"/>
        <v>127.25020000000001</v>
      </c>
      <c r="J668" s="125">
        <f t="shared" si="75"/>
        <v>173.523</v>
      </c>
    </row>
    <row r="669" spans="1:10" ht="14.95" customHeight="1">
      <c r="A669" s="10" t="s">
        <v>1863</v>
      </c>
      <c r="B669" s="92">
        <f t="shared" si="79"/>
        <v>72.531899999999993</v>
      </c>
      <c r="C669" s="92">
        <f>('Цены на металл '!AA668*'Цены на металл '!$B$4*1.4)+'Цены на металл '!AB668</f>
        <v>80.590999999999994</v>
      </c>
      <c r="D669" s="92">
        <f t="shared" si="76"/>
        <v>88.650099999999995</v>
      </c>
      <c r="E669" s="92">
        <f t="shared" si="80"/>
        <v>96.709199999999996</v>
      </c>
      <c r="F669" s="92">
        <f t="shared" si="80"/>
        <v>106.38011999999999</v>
      </c>
      <c r="G669" s="92">
        <f t="shared" si="80"/>
        <v>116.05103999999999</v>
      </c>
      <c r="H669" s="124">
        <f t="shared" si="77"/>
        <v>161.18199999999999</v>
      </c>
      <c r="I669" s="124">
        <f t="shared" si="78"/>
        <v>177.30019999999999</v>
      </c>
      <c r="J669" s="125">
        <f t="shared" si="75"/>
        <v>241.77299999999997</v>
      </c>
    </row>
    <row r="670" spans="1:10" ht="14.95" customHeight="1">
      <c r="A670" s="10" t="s">
        <v>1864</v>
      </c>
      <c r="B670" s="92">
        <f t="shared" si="79"/>
        <v>43.866900000000001</v>
      </c>
      <c r="C670" s="92">
        <f>('Цены на металл '!AA669*'Цены на металл '!$B$4*1.4)+'Цены на металл '!AB669</f>
        <v>48.741</v>
      </c>
      <c r="D670" s="92">
        <f t="shared" si="76"/>
        <v>53.615100000000005</v>
      </c>
      <c r="E670" s="92">
        <f t="shared" si="80"/>
        <v>58.489199999999997</v>
      </c>
      <c r="F670" s="92">
        <f t="shared" si="80"/>
        <v>64.338120000000004</v>
      </c>
      <c r="G670" s="92">
        <f t="shared" si="80"/>
        <v>70.187039999999996</v>
      </c>
      <c r="H670" s="124">
        <f t="shared" si="77"/>
        <v>97.481999999999999</v>
      </c>
      <c r="I670" s="124">
        <f t="shared" si="78"/>
        <v>107.23020000000001</v>
      </c>
      <c r="J670" s="125">
        <f t="shared" si="75"/>
        <v>146.22300000000001</v>
      </c>
    </row>
    <row r="671" spans="1:10" ht="14.95" customHeight="1">
      <c r="A671" s="10" t="s">
        <v>1865</v>
      </c>
      <c r="B671" s="92">
        <f t="shared" si="79"/>
        <v>46.323899999999995</v>
      </c>
      <c r="C671" s="92">
        <f>('Цены на металл '!AA670*'Цены на металл '!$B$4*1.4)+'Цены на металл '!AB670</f>
        <v>51.470999999999997</v>
      </c>
      <c r="D671" s="92">
        <f t="shared" si="76"/>
        <v>56.618099999999998</v>
      </c>
      <c r="E671" s="92">
        <f t="shared" si="80"/>
        <v>61.765199999999993</v>
      </c>
      <c r="F671" s="92">
        <f t="shared" si="80"/>
        <v>67.941719999999989</v>
      </c>
      <c r="G671" s="92">
        <f t="shared" si="80"/>
        <v>74.118239999999986</v>
      </c>
      <c r="H671" s="124">
        <f t="shared" si="77"/>
        <v>102.94199999999999</v>
      </c>
      <c r="I671" s="124">
        <f t="shared" si="78"/>
        <v>113.2362</v>
      </c>
      <c r="J671" s="125">
        <f t="shared" si="75"/>
        <v>154.41299999999998</v>
      </c>
    </row>
    <row r="672" spans="1:10" ht="14.95" customHeight="1">
      <c r="A672" s="10" t="s">
        <v>1866</v>
      </c>
      <c r="B672" s="92">
        <f t="shared" si="79"/>
        <v>49.518000000000001</v>
      </c>
      <c r="C672" s="92">
        <f>('Цены на металл '!AA671*'Цены на металл '!$B$4*1.4)+'Цены на металл '!AB671</f>
        <v>55.019999999999996</v>
      </c>
      <c r="D672" s="92">
        <f t="shared" si="76"/>
        <v>60.521999999999998</v>
      </c>
      <c r="E672" s="92">
        <f t="shared" si="80"/>
        <v>66.023999999999987</v>
      </c>
      <c r="F672" s="92">
        <f t="shared" si="80"/>
        <v>72.62639999999999</v>
      </c>
      <c r="G672" s="92">
        <f t="shared" si="80"/>
        <v>79.228799999999978</v>
      </c>
      <c r="H672" s="124">
        <f t="shared" si="77"/>
        <v>110.03999999999999</v>
      </c>
      <c r="I672" s="124">
        <f t="shared" si="78"/>
        <v>121.044</v>
      </c>
      <c r="J672" s="125">
        <f t="shared" si="75"/>
        <v>165.06</v>
      </c>
    </row>
    <row r="673" spans="1:10" ht="14.95" customHeight="1">
      <c r="A673" s="10" t="s">
        <v>1867</v>
      </c>
      <c r="B673" s="92">
        <f t="shared" si="79"/>
        <v>51.237899999999996</v>
      </c>
      <c r="C673" s="92">
        <f>('Цены на металл '!AA672*'Цены на металл '!$B$4*1.4)+'Цены на металл '!AB672</f>
        <v>56.930999999999997</v>
      </c>
      <c r="D673" s="92">
        <f t="shared" si="76"/>
        <v>62.624100000000006</v>
      </c>
      <c r="E673" s="92">
        <f t="shared" si="80"/>
        <v>68.3172</v>
      </c>
      <c r="F673" s="92">
        <f t="shared" si="80"/>
        <v>75.148920000000004</v>
      </c>
      <c r="G673" s="92">
        <f t="shared" si="80"/>
        <v>81.980639999999994</v>
      </c>
      <c r="H673" s="124">
        <f t="shared" si="77"/>
        <v>113.86199999999999</v>
      </c>
      <c r="I673" s="124">
        <f t="shared" si="78"/>
        <v>125.24820000000001</v>
      </c>
      <c r="J673" s="125">
        <f t="shared" si="75"/>
        <v>170.79300000000001</v>
      </c>
    </row>
    <row r="674" spans="1:10" ht="14.95" customHeight="1">
      <c r="A674" s="10" t="s">
        <v>1868</v>
      </c>
      <c r="B674" s="92">
        <f t="shared" si="79"/>
        <v>56.151899999999991</v>
      </c>
      <c r="C674" s="92">
        <f>('Цены на металл '!AA673*'Цены на металл '!$B$4*1.4)+'Цены на металл '!AB673</f>
        <v>62.390999999999991</v>
      </c>
      <c r="D674" s="92">
        <f t="shared" si="76"/>
        <v>68.630099999999999</v>
      </c>
      <c r="E674" s="92">
        <f t="shared" si="80"/>
        <v>74.869199999999992</v>
      </c>
      <c r="F674" s="92">
        <f t="shared" si="80"/>
        <v>82.35611999999999</v>
      </c>
      <c r="G674" s="92">
        <f t="shared" si="80"/>
        <v>89.843039999999988</v>
      </c>
      <c r="H674" s="124">
        <f t="shared" si="77"/>
        <v>124.78199999999998</v>
      </c>
      <c r="I674" s="124">
        <f t="shared" si="78"/>
        <v>137.2602</v>
      </c>
      <c r="J674" s="125">
        <f t="shared" si="75"/>
        <v>187.17299999999997</v>
      </c>
    </row>
    <row r="675" spans="1:10" ht="14.95" customHeight="1">
      <c r="A675" s="10" t="s">
        <v>1869</v>
      </c>
      <c r="B675" s="92">
        <f t="shared" si="79"/>
        <v>62.622</v>
      </c>
      <c r="C675" s="92">
        <f>('Цены на металл '!AA674*'Цены на металл '!$B$4*1.4)+'Цены на металл '!AB674</f>
        <v>69.58</v>
      </c>
      <c r="D675" s="92">
        <f t="shared" si="76"/>
        <v>76.538000000000011</v>
      </c>
      <c r="E675" s="92">
        <f t="shared" si="80"/>
        <v>83.495999999999995</v>
      </c>
      <c r="F675" s="92">
        <f t="shared" si="80"/>
        <v>91.845600000000005</v>
      </c>
      <c r="G675" s="92">
        <f t="shared" si="80"/>
        <v>100.19519999999999</v>
      </c>
      <c r="H675" s="124">
        <f t="shared" si="77"/>
        <v>139.16</v>
      </c>
      <c r="I675" s="124">
        <f t="shared" si="78"/>
        <v>153.07600000000002</v>
      </c>
      <c r="J675" s="125">
        <f t="shared" si="75"/>
        <v>208.74</v>
      </c>
    </row>
    <row r="676" spans="1:10" ht="14.95" customHeight="1">
      <c r="A676" s="10" t="s">
        <v>1870</v>
      </c>
      <c r="B676" s="92">
        <f t="shared" si="79"/>
        <v>65.897999999999996</v>
      </c>
      <c r="C676" s="92">
        <f>('Цены на металл '!AA675*'Цены на металл '!$B$4*1.4)+'Цены на металл '!AB675</f>
        <v>73.22</v>
      </c>
      <c r="D676" s="92">
        <f t="shared" si="76"/>
        <v>80.542000000000002</v>
      </c>
      <c r="E676" s="92">
        <f t="shared" si="80"/>
        <v>87.86399999999999</v>
      </c>
      <c r="F676" s="92">
        <f t="shared" si="80"/>
        <v>96.650400000000005</v>
      </c>
      <c r="G676" s="92">
        <f t="shared" si="80"/>
        <v>105.43679999999999</v>
      </c>
      <c r="H676" s="124">
        <f t="shared" si="77"/>
        <v>146.44</v>
      </c>
      <c r="I676" s="124">
        <f t="shared" si="78"/>
        <v>161.084</v>
      </c>
      <c r="J676" s="125">
        <f t="shared" si="75"/>
        <v>219.66</v>
      </c>
    </row>
    <row r="677" spans="1:10">
      <c r="A677" s="27"/>
    </row>
    <row r="678" spans="1:10">
      <c r="A678" s="1"/>
    </row>
    <row r="679" spans="1:10">
      <c r="A679" s="1"/>
    </row>
    <row r="680" spans="1:10">
      <c r="A680" s="1"/>
    </row>
    <row r="681" spans="1:10">
      <c r="A681" s="1"/>
    </row>
    <row r="682" spans="1:10">
      <c r="A682" s="1"/>
    </row>
    <row r="683" spans="1:10">
      <c r="A683" s="1"/>
    </row>
    <row r="684" spans="1:10">
      <c r="A684" s="1"/>
    </row>
    <row r="685" spans="1:10">
      <c r="A685" s="1"/>
    </row>
    <row r="686" spans="1:10">
      <c r="A686" s="1"/>
    </row>
    <row r="687" spans="1:10">
      <c r="A687" s="1"/>
    </row>
    <row r="688" spans="1:10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4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21"/>
    </row>
    <row r="707" spans="1:1">
      <c r="A707" s="1"/>
    </row>
    <row r="708" spans="1:1">
      <c r="A708" s="1"/>
    </row>
    <row r="709" spans="1:1">
      <c r="A709" s="1"/>
    </row>
    <row r="710" spans="1:1">
      <c r="A710" s="4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4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4"/>
    </row>
    <row r="760" spans="1:1">
      <c r="A760" s="1"/>
    </row>
    <row r="761" spans="1:1">
      <c r="A761" s="2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4"/>
    </row>
    <row r="799" spans="1:1">
      <c r="A799" s="1"/>
    </row>
    <row r="800" spans="1:1">
      <c r="A800" s="2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4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4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4"/>
    </row>
    <row r="916" spans="1:1">
      <c r="A916" s="21"/>
    </row>
    <row r="917" spans="1:1">
      <c r="A917" s="2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4"/>
    </row>
    <row r="955" spans="1:1">
      <c r="A955" s="1"/>
    </row>
    <row r="956" spans="1:1">
      <c r="A956" s="2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4"/>
    </row>
    <row r="965" spans="1:1">
      <c r="A965" s="2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4"/>
    </row>
    <row r="1004" spans="1:1">
      <c r="A1004" s="2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20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4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21"/>
    </row>
    <row r="1060" spans="1:1">
      <c r="A1060" s="1"/>
    </row>
    <row r="1061" spans="1:1">
      <c r="A1061" s="1"/>
    </row>
    <row r="1062" spans="1:1">
      <c r="A1062" s="20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4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4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4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4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4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4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4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4"/>
    </row>
    <row r="1286" spans="1:1">
      <c r="A1286" s="2"/>
    </row>
    <row r="1287" spans="1:1">
      <c r="A1287" s="2"/>
    </row>
    <row r="1288" spans="1:1">
      <c r="A1288" s="2"/>
    </row>
  </sheetData>
  <sheetProtection formatCells="0" formatColumns="0" formatRows="0" insertColumns="0" insertRows="0" insertHyperlinks="0" deleteColumns="0" deleteRows="0" sort="0" autoFilter="0" pivotTables="0"/>
  <mergeCells count="1">
    <mergeCell ref="B1:E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5"/>
  <dimension ref="A1:G87"/>
  <sheetViews>
    <sheetView zoomScale="115" zoomScaleNormal="115" workbookViewId="0">
      <pane ySplit="1" topLeftCell="A2" activePane="bottomLeft" state="frozen"/>
      <selection pane="bottomLeft" activeCell="V34" sqref="V34"/>
    </sheetView>
  </sheetViews>
  <sheetFormatPr defaultRowHeight="14.3"/>
  <cols>
    <col min="1" max="1" width="57.625" bestFit="1" customWidth="1"/>
    <col min="2" max="2" width="4.375" style="13" bestFit="1" customWidth="1"/>
    <col min="3" max="3" width="6" bestFit="1" customWidth="1"/>
    <col min="4" max="4" width="5.75" bestFit="1" customWidth="1"/>
    <col min="7" max="7" width="9.125" customWidth="1"/>
  </cols>
  <sheetData>
    <row r="1" spans="1:7" ht="19.05">
      <c r="A1" s="188" t="s">
        <v>2</v>
      </c>
      <c r="B1" s="94" t="s">
        <v>1186</v>
      </c>
      <c r="C1" s="95" t="s">
        <v>1185</v>
      </c>
      <c r="D1" s="45" t="s">
        <v>1187</v>
      </c>
      <c r="F1" s="43"/>
      <c r="G1" s="43"/>
    </row>
    <row r="2" spans="1:7" ht="14.3" customHeight="1">
      <c r="A2" s="187" t="s">
        <v>1955</v>
      </c>
      <c r="B2" s="46"/>
      <c r="C2" s="44"/>
      <c r="D2" s="45"/>
      <c r="F2" s="43"/>
      <c r="G2" s="43"/>
    </row>
    <row r="3" spans="1:7">
      <c r="A3" s="97" t="s">
        <v>1956</v>
      </c>
      <c r="B3" s="132">
        <f>64.9944*'Цены на металл '!B12</f>
        <v>64.994399999999999</v>
      </c>
      <c r="C3" s="108">
        <f>123.48936*'Цены на металл '!C12</f>
        <v>123.48936</v>
      </c>
      <c r="D3" s="109">
        <f>357.4692*'Цены на металл '!D12</f>
        <v>357.4692</v>
      </c>
      <c r="F3" s="43"/>
      <c r="G3" s="43"/>
    </row>
    <row r="4" spans="1:7">
      <c r="A4" s="97" t="s">
        <v>1913</v>
      </c>
      <c r="B4" s="132">
        <f>64.9944*'Цены на металл '!B12</f>
        <v>64.994399999999999</v>
      </c>
      <c r="C4" s="108">
        <f>123.48936*'Цены на металл '!C12</f>
        <v>123.48936</v>
      </c>
      <c r="D4" s="109">
        <f>357.4692*'Цены на металл '!D12</f>
        <v>357.4692</v>
      </c>
      <c r="F4" s="43"/>
      <c r="G4" s="43"/>
    </row>
    <row r="5" spans="1:7">
      <c r="A5" s="97" t="s">
        <v>1914</v>
      </c>
      <c r="B5" s="132">
        <f>71.604*'Цены на металл '!B12</f>
        <v>71.603999999999999</v>
      </c>
      <c r="C5" s="108">
        <f>136.0476*'Цены на металл '!C12</f>
        <v>136.04759999999999</v>
      </c>
      <c r="D5" s="109">
        <f>393.822*'Цены на металл '!D12</f>
        <v>393.822</v>
      </c>
      <c r="F5" s="43"/>
      <c r="G5" s="43"/>
    </row>
    <row r="6" spans="1:7">
      <c r="A6" s="97" t="s">
        <v>1915</v>
      </c>
      <c r="B6" s="132">
        <f>69.9516*'Цены на металл '!B12</f>
        <v>69.951599999999999</v>
      </c>
      <c r="C6" s="108">
        <f>132.90804*'Цены на металл '!C12</f>
        <v>132.90804</v>
      </c>
      <c r="D6" s="109">
        <f>384.7338*'Цены на металл '!D12</f>
        <v>384.73379999999997</v>
      </c>
      <c r="F6" s="43"/>
      <c r="G6" s="43"/>
    </row>
    <row r="7" spans="1:7">
      <c r="A7" s="97" t="s">
        <v>1916</v>
      </c>
      <c r="B7" s="132">
        <f>90.3312*'Цены на металл '!B12</f>
        <v>90.331199999999995</v>
      </c>
      <c r="C7" s="108">
        <f>171.62928*'Цены на металл '!C12</f>
        <v>171.62927999999999</v>
      </c>
      <c r="D7" s="109">
        <f>496.8216*'Цены на металл '!D12</f>
        <v>496.82159999999999</v>
      </c>
      <c r="F7" s="43"/>
      <c r="G7" s="43"/>
    </row>
    <row r="8" spans="1:7">
      <c r="A8" s="97" t="s">
        <v>1917</v>
      </c>
      <c r="B8" s="132">
        <f>101.78784*'Цены на металл '!B12</f>
        <v>101.78784</v>
      </c>
      <c r="C8" s="108">
        <f>193.396896*'Цены на металл '!C12</f>
        <v>193.396896</v>
      </c>
      <c r="D8" s="109">
        <f>559.83312*'Цены на металл '!D12</f>
        <v>559.83312000000001</v>
      </c>
      <c r="F8" s="43"/>
      <c r="G8" s="43"/>
    </row>
    <row r="9" spans="1:7">
      <c r="A9" s="97" t="s">
        <v>1918</v>
      </c>
      <c r="B9" s="132">
        <f>121.528512*'Цены на металл '!B12</f>
        <v>121.52851200000001</v>
      </c>
      <c r="C9" s="108">
        <f>230.9041728*'Цены на металл '!C12</f>
        <v>230.9041728</v>
      </c>
      <c r="D9" s="109">
        <f>668.406816*'Цены на металл '!D12</f>
        <v>668.40681600000005</v>
      </c>
      <c r="F9" s="43"/>
      <c r="G9" s="43"/>
    </row>
    <row r="10" spans="1:7">
      <c r="A10" s="97" t="s">
        <v>1919</v>
      </c>
      <c r="B10" s="132">
        <f>135.71712*'Цены на металл '!B12</f>
        <v>135.71711999999999</v>
      </c>
      <c r="C10" s="108">
        <f>257.862528*'Цены на металл '!C12</f>
        <v>257.862528</v>
      </c>
      <c r="D10" s="109">
        <f>746.44416*'Цены на металл '!D12</f>
        <v>746.44416000000001</v>
      </c>
      <c r="F10" s="43"/>
      <c r="G10" s="43"/>
    </row>
    <row r="11" spans="1:7">
      <c r="A11" s="97" t="s">
        <v>1920</v>
      </c>
      <c r="B11" s="132">
        <f>162.860544*'Цены на металл '!B12</f>
        <v>162.860544</v>
      </c>
      <c r="C11" s="108">
        <f>309.4350336*'Цены на металл '!C12</f>
        <v>309.4350336</v>
      </c>
      <c r="D11" s="109">
        <f>895.732992*'Цены на металл '!D12</f>
        <v>895.73299199999997</v>
      </c>
      <c r="F11" s="43"/>
      <c r="G11" s="43"/>
    </row>
    <row r="12" spans="1:7">
      <c r="A12" s="97" t="s">
        <v>1921</v>
      </c>
      <c r="B12" s="132">
        <f>192.78*'Цены на металл '!B12</f>
        <v>192.78</v>
      </c>
      <c r="C12" s="108">
        <f>366.282*'Цены на металл '!C12</f>
        <v>366.28199999999998</v>
      </c>
      <c r="D12" s="109">
        <f>1060.29*'Цены на металл '!D12</f>
        <v>1060.29</v>
      </c>
      <c r="F12" s="43"/>
      <c r="G12" s="43"/>
    </row>
    <row r="13" spans="1:7">
      <c r="A13" s="97" t="s">
        <v>1922</v>
      </c>
      <c r="B13" s="132">
        <f>199.257408*'Цены на металл '!B12</f>
        <v>199.257408</v>
      </c>
      <c r="C13" s="108">
        <f>378.5890752*'Цены на металл '!C12</f>
        <v>378.58907520000002</v>
      </c>
      <c r="D13" s="109">
        <f>1095.915744*'Цены на металл '!D12</f>
        <v>1095.9157439999999</v>
      </c>
      <c r="F13" s="43"/>
      <c r="G13" s="43"/>
    </row>
    <row r="14" spans="1:7">
      <c r="A14" s="97" t="s">
        <v>1923</v>
      </c>
      <c r="B14" s="132">
        <f>241.2504*'Цены на металл '!B12</f>
        <v>241.25040000000001</v>
      </c>
      <c r="C14" s="108">
        <f>458.37576*'Цены на металл '!C12</f>
        <v>458.37576000000001</v>
      </c>
      <c r="D14" s="109">
        <f>1326.8772*'Цены на металл '!D12</f>
        <v>1326.8771999999999</v>
      </c>
      <c r="F14" s="43"/>
      <c r="G14" s="43"/>
    </row>
    <row r="15" spans="1:7">
      <c r="A15" s="97" t="s">
        <v>1924</v>
      </c>
      <c r="B15" s="132">
        <f>264.384*'Цены на металл '!B12</f>
        <v>264.38400000000001</v>
      </c>
      <c r="C15" s="108">
        <f>502.3296*'Цены на металл '!C12</f>
        <v>502.32960000000003</v>
      </c>
      <c r="D15" s="109">
        <f>1454.112*'Цены на металл '!D12</f>
        <v>1454.1120000000001</v>
      </c>
      <c r="F15" s="43"/>
      <c r="G15" s="43"/>
    </row>
    <row r="16" spans="1:7">
      <c r="A16" s="97" t="s">
        <v>1925</v>
      </c>
      <c r="B16" s="132">
        <f>69.9516*'Цены на металл '!B12</f>
        <v>69.951599999999999</v>
      </c>
      <c r="C16" s="108">
        <f>132.90804*'Цены на металл '!C12</f>
        <v>132.90804</v>
      </c>
      <c r="D16" s="109">
        <f>384.7338*'Цены на металл '!D12</f>
        <v>384.73379999999997</v>
      </c>
      <c r="F16" s="43"/>
      <c r="G16" s="43"/>
    </row>
    <row r="17" spans="1:7">
      <c r="A17" s="97" t="s">
        <v>1926</v>
      </c>
      <c r="B17" s="132">
        <f>93.768192*'Цены на металл '!B12</f>
        <v>93.768191999999999</v>
      </c>
      <c r="C17" s="108">
        <f>178.1595648*'Цены на металл '!C12</f>
        <v>178.1595648</v>
      </c>
      <c r="D17" s="109">
        <f>515.725056*'Цены на металл '!D12</f>
        <v>515.725056</v>
      </c>
      <c r="F17" s="43"/>
      <c r="G17" s="43"/>
    </row>
    <row r="18" spans="1:7">
      <c r="A18" s="97" t="s">
        <v>1927</v>
      </c>
      <c r="B18" s="132">
        <f>102.4488*'Цены на металл '!B12</f>
        <v>102.44880000000001</v>
      </c>
      <c r="C18" s="108">
        <f>194.65272*'Цены на металл '!C12</f>
        <v>194.65271999999999</v>
      </c>
      <c r="D18" s="109">
        <f>563.4684*'Цены на металл '!D12</f>
        <v>563.46839999999997</v>
      </c>
      <c r="F18" s="43"/>
      <c r="G18" s="43"/>
    </row>
    <row r="19" spans="1:7">
      <c r="A19" s="97" t="s">
        <v>1928</v>
      </c>
      <c r="B19" s="132">
        <f>121.528512*'Цены на металл '!B12</f>
        <v>121.52851200000001</v>
      </c>
      <c r="C19" s="108">
        <f>230.9041728*'Цены на металл '!C12</f>
        <v>230.9041728</v>
      </c>
      <c r="D19" s="109">
        <f>668.406816*'Цены на металл '!D12</f>
        <v>668.40681600000005</v>
      </c>
      <c r="F19" s="43"/>
      <c r="G19" s="43"/>
    </row>
    <row r="20" spans="1:7">
      <c r="A20" s="97" t="s">
        <v>1929</v>
      </c>
      <c r="B20" s="132">
        <f>144.3096*'Цены на металл '!B12</f>
        <v>144.30959999999999</v>
      </c>
      <c r="C20" s="108">
        <f>274.18824*'Цены на металл '!C12</f>
        <v>274.18824000000001</v>
      </c>
      <c r="D20" s="109">
        <f>793.7028*'Цены на металл '!D12</f>
        <v>793.70280000000002</v>
      </c>
      <c r="F20" s="43"/>
      <c r="G20" s="43"/>
    </row>
    <row r="21" spans="1:7">
      <c r="A21" s="97" t="s">
        <v>1930</v>
      </c>
      <c r="B21" s="132">
        <f>162.486*'Цены на металл '!B12</f>
        <v>162.48599999999999</v>
      </c>
      <c r="C21" s="108">
        <f>308.7234*'Цены на металл '!C12</f>
        <v>308.72340000000003</v>
      </c>
      <c r="D21" s="109">
        <f>893.673*'Цены на металл '!D12</f>
        <v>893.673</v>
      </c>
      <c r="F21" s="43"/>
      <c r="G21" s="43"/>
    </row>
    <row r="22" spans="1:7">
      <c r="A22" s="97" t="s">
        <v>1931</v>
      </c>
      <c r="B22" s="132">
        <f>209.127744*'Цены на металл '!B12</f>
        <v>209.12774400000001</v>
      </c>
      <c r="C22" s="108">
        <f>397.3427136*'Цены на металл '!C12</f>
        <v>397.34271360000002</v>
      </c>
      <c r="D22" s="109">
        <f>1150.20259*'Цены на металл '!D12</f>
        <v>1150.2025900000001</v>
      </c>
      <c r="F22" s="43"/>
      <c r="G22" s="43"/>
    </row>
    <row r="23" spans="1:7">
      <c r="A23" s="97" t="s">
        <v>1932</v>
      </c>
      <c r="B23" s="132">
        <f>196.6356*'Цены на металл '!B12</f>
        <v>196.63560000000001</v>
      </c>
      <c r="C23" s="108">
        <f>373.60764*'Цены на металл '!C12</f>
        <v>373.60764</v>
      </c>
      <c r="D23" s="109">
        <f>1081.4958*'Цены на металл '!D12</f>
        <v>1081.4957999999999</v>
      </c>
      <c r="F23" s="43"/>
      <c r="G23" s="43"/>
    </row>
    <row r="24" spans="1:7">
      <c r="A24" s="97" t="s">
        <v>1933</v>
      </c>
      <c r="B24" s="132">
        <f>231.336*'Цены на металл '!B12</f>
        <v>231.33600000000001</v>
      </c>
      <c r="C24" s="108">
        <f>439.5384*'Цены на металл '!C12</f>
        <v>439.53840000000002</v>
      </c>
      <c r="D24" s="109">
        <f>1272.348*'Цены на металл '!D12</f>
        <v>1272.348</v>
      </c>
      <c r="F24" s="43"/>
      <c r="G24" s="43"/>
    </row>
    <row r="25" spans="1:7">
      <c r="A25" s="97" t="s">
        <v>1934</v>
      </c>
      <c r="B25" s="132">
        <f>240.1488*'Цены на металл '!B12</f>
        <v>240.14879999999999</v>
      </c>
      <c r="C25" s="108">
        <f>456.28272*'Цены на металл '!C12</f>
        <v>456.28271999999998</v>
      </c>
      <c r="D25" s="109">
        <f>1320.8184*'Цены на металл '!D12</f>
        <v>1320.8184000000001</v>
      </c>
      <c r="F25" s="43"/>
      <c r="G25" s="43"/>
    </row>
    <row r="26" spans="1:7">
      <c r="A26" s="97" t="s">
        <v>1935</v>
      </c>
      <c r="B26" s="132">
        <f>264.384*'Цены на металл '!B12</f>
        <v>264.38400000000001</v>
      </c>
      <c r="C26" s="108">
        <f>502.3296*'Цены на металл '!C12</f>
        <v>502.32960000000003</v>
      </c>
      <c r="D26" s="109">
        <f>1454.112*'Цены на металл '!D12</f>
        <v>1454.1120000000001</v>
      </c>
      <c r="F26" s="43"/>
      <c r="G26" s="43"/>
    </row>
    <row r="27" spans="1:7">
      <c r="A27" s="97" t="s">
        <v>1936</v>
      </c>
      <c r="B27" s="132">
        <f>280.908*'Цены на металл '!B12</f>
        <v>280.90800000000002</v>
      </c>
      <c r="C27" s="108">
        <f>533.7252*'Цены на металл '!C12</f>
        <v>533.72519999999997</v>
      </c>
      <c r="D27" s="109">
        <f>1544.994*'Цены на металл '!D12</f>
        <v>1544.9939999999999</v>
      </c>
      <c r="F27" s="43"/>
      <c r="G27" s="43"/>
    </row>
    <row r="28" spans="1:7">
      <c r="A28" s="97" t="s">
        <v>1937</v>
      </c>
      <c r="B28" s="132">
        <f>102.4488*'Цены на металл '!B12</f>
        <v>102.44880000000001</v>
      </c>
      <c r="C28" s="108">
        <f>194.65272*'Цены на металл '!C12</f>
        <v>194.65271999999999</v>
      </c>
      <c r="D28" s="109">
        <f>563.4684*'Цены на металл '!D12</f>
        <v>563.46839999999997</v>
      </c>
      <c r="F28" s="43"/>
      <c r="G28" s="43"/>
    </row>
    <row r="29" spans="1:7">
      <c r="A29" s="97" t="s">
        <v>1938</v>
      </c>
      <c r="B29" s="132">
        <f>107.406*'Цены на металл '!B12</f>
        <v>107.40600000000001</v>
      </c>
      <c r="C29" s="108">
        <f>204.0714*'Цены на металл '!C12</f>
        <v>204.07140000000001</v>
      </c>
      <c r="D29" s="109">
        <f>590.733*'Цены на металл '!D12</f>
        <v>590.73299999999995</v>
      </c>
      <c r="F29" s="43"/>
      <c r="G29" s="43"/>
    </row>
    <row r="30" spans="1:7">
      <c r="A30" s="97" t="s">
        <v>1939</v>
      </c>
      <c r="B30" s="132">
        <f>123.3792*'Цены на металл '!B12</f>
        <v>123.3792</v>
      </c>
      <c r="C30" s="108">
        <f>234.42048*'Цены на металл '!C12</f>
        <v>234.42048</v>
      </c>
      <c r="D30" s="109">
        <f>678.5856*'Цены на металл '!D12</f>
        <v>678.5856</v>
      </c>
      <c r="F30" s="43"/>
      <c r="G30" s="43"/>
    </row>
    <row r="31" spans="1:7">
      <c r="A31" s="97" t="s">
        <v>1940</v>
      </c>
      <c r="B31" s="132">
        <f>147.6144*'Цены на металл '!B12</f>
        <v>147.61439999999999</v>
      </c>
      <c r="C31" s="108">
        <f>280.46736*'Цены на металл '!C12</f>
        <v>280.46735999999999</v>
      </c>
      <c r="D31" s="109">
        <f>811.8792*'Цены на металл '!D12</f>
        <v>811.87919999999997</v>
      </c>
      <c r="F31" s="43"/>
      <c r="G31" s="43"/>
    </row>
    <row r="32" spans="1:7">
      <c r="A32" s="97" t="s">
        <v>1941</v>
      </c>
      <c r="B32" s="132">
        <f>164.094336*'Цены на металл '!B12</f>
        <v>164.094336</v>
      </c>
      <c r="C32" s="108">
        <f>311.7792384*'Цены на металл '!C12</f>
        <v>311.7792384</v>
      </c>
      <c r="D32" s="109">
        <f>902.518848*'Цены на металл '!D12</f>
        <v>902.51884800000005</v>
      </c>
      <c r="F32" s="43"/>
      <c r="G32" s="43"/>
    </row>
    <row r="33" spans="1:7">
      <c r="A33" s="97" t="s">
        <v>1942</v>
      </c>
      <c r="B33" s="132">
        <f>202.6944*'Цены на металл '!B12</f>
        <v>202.6944</v>
      </c>
      <c r="C33" s="108">
        <f>385.11936*'Цены на металл '!C12</f>
        <v>385.11935999999997</v>
      </c>
      <c r="D33" s="109">
        <f>1114.8192*'Цены на металл '!D12</f>
        <v>1114.8191999999999</v>
      </c>
      <c r="F33" s="43"/>
      <c r="G33" s="43"/>
    </row>
    <row r="34" spans="1:7">
      <c r="A34" s="97" t="s">
        <v>1943</v>
      </c>
      <c r="B34" s="132">
        <f>218.1168*'Цены на металл '!B12</f>
        <v>218.11680000000001</v>
      </c>
      <c r="C34" s="108">
        <f>414.42192*'Цены на металл '!C12</f>
        <v>414.42192</v>
      </c>
      <c r="D34" s="109">
        <f>1199.6424*'Цены на металл '!D12</f>
        <v>1199.6424</v>
      </c>
      <c r="F34" s="43"/>
      <c r="G34" s="43"/>
    </row>
    <row r="35" spans="1:7">
      <c r="A35" s="97" t="s">
        <v>1944</v>
      </c>
      <c r="B35" s="132">
        <f>241.2504*'Цены на металл '!B12</f>
        <v>241.25040000000001</v>
      </c>
      <c r="C35" s="108">
        <f>458.37576*'Цены на металл '!C12</f>
        <v>458.37576000000001</v>
      </c>
      <c r="D35" s="109">
        <f>1326.8772*'Цены на металл '!D12</f>
        <v>1326.8771999999999</v>
      </c>
      <c r="F35" s="43"/>
      <c r="G35" s="43"/>
    </row>
    <row r="36" spans="1:7">
      <c r="A36" s="97" t="s">
        <v>1945</v>
      </c>
      <c r="B36" s="132">
        <f>280.908*'Цены на металл '!B12</f>
        <v>280.90800000000002</v>
      </c>
      <c r="C36" s="108">
        <f>533.7252*'Цены на металл '!C12</f>
        <v>533.72519999999997</v>
      </c>
      <c r="D36" s="109">
        <f>1544.994*'Цены на металл '!D12</f>
        <v>1544.9939999999999</v>
      </c>
      <c r="F36" s="43"/>
      <c r="G36" s="43"/>
    </row>
    <row r="37" spans="1:7">
      <c r="A37" s="97" t="s">
        <v>1946</v>
      </c>
      <c r="B37" s="132">
        <f>327.1752*'Цены на металл '!B12</f>
        <v>327.17520000000002</v>
      </c>
      <c r="C37" s="108">
        <f>621.63288*'Цены на металл '!C12</f>
        <v>621.63288</v>
      </c>
      <c r="D37" s="109">
        <f>1799.4636*'Цены на металл '!D12</f>
        <v>1799.4636</v>
      </c>
      <c r="F37" s="43"/>
      <c r="G37" s="43"/>
    </row>
    <row r="38" spans="1:7">
      <c r="A38" s="97" t="s">
        <v>1947</v>
      </c>
      <c r="B38" s="132">
        <f>136.5984*'Цены на металл '!B12</f>
        <v>136.5984</v>
      </c>
      <c r="C38" s="108">
        <f>259.53696*'Цены на металл '!C12</f>
        <v>259.53696000000002</v>
      </c>
      <c r="D38" s="109">
        <f>751.2912*'Цены на металл '!D12</f>
        <v>751.2912</v>
      </c>
      <c r="F38" s="43"/>
      <c r="G38" s="43"/>
    </row>
    <row r="39" spans="1:7">
      <c r="A39" s="97" t="s">
        <v>1948</v>
      </c>
      <c r="B39" s="132">
        <f>144.97056*'Цены на металл '!B12</f>
        <v>144.97056000000001</v>
      </c>
      <c r="C39" s="108">
        <f>275.444064*'Цены на металл '!C12</f>
        <v>275.44406400000003</v>
      </c>
      <c r="D39" s="109">
        <f>797.33808*'Цены на металл '!D12</f>
        <v>797.33807999999999</v>
      </c>
      <c r="F39" s="43"/>
      <c r="G39" s="43"/>
    </row>
    <row r="40" spans="1:7">
      <c r="A40" s="97" t="s">
        <v>1949</v>
      </c>
      <c r="B40" s="132">
        <f>149.8176*'Цены на металл '!B12</f>
        <v>149.8176</v>
      </c>
      <c r="C40" s="108">
        <f>284.65344*'Цены на металл '!C12</f>
        <v>284.65343999999999</v>
      </c>
      <c r="D40" s="109">
        <f>823.9968*'Цены на металл '!D12</f>
        <v>823.99680000000001</v>
      </c>
      <c r="F40" s="43"/>
      <c r="G40" s="43"/>
    </row>
    <row r="41" spans="1:7">
      <c r="A41" s="97" t="s">
        <v>1950</v>
      </c>
      <c r="B41" s="132">
        <f>162.486*'Цены на металл '!B12</f>
        <v>162.48599999999999</v>
      </c>
      <c r="C41" s="108">
        <f>308.7234*'Цены на металл '!C12</f>
        <v>308.72340000000003</v>
      </c>
      <c r="D41" s="109">
        <f>893.673*'Цены на металл '!D12</f>
        <v>893.673</v>
      </c>
      <c r="F41" s="43"/>
      <c r="G41" s="43"/>
    </row>
    <row r="42" spans="1:7">
      <c r="A42" s="97" t="s">
        <v>1951</v>
      </c>
      <c r="B42" s="132">
        <f>196.0848*'Цены на металл '!B12</f>
        <v>196.0848</v>
      </c>
      <c r="C42" s="108">
        <f>372.56112*'Цены на металл '!C12</f>
        <v>372.56112000000002</v>
      </c>
      <c r="D42" s="109">
        <f>1078.4664*'Цены на металл '!D12</f>
        <v>1078.4664</v>
      </c>
      <c r="F42" s="43"/>
      <c r="G42" s="43"/>
    </row>
    <row r="43" spans="1:7">
      <c r="A43" s="97" t="s">
        <v>1952</v>
      </c>
      <c r="B43" s="132">
        <f>254.4696*'Цены на металл '!B12</f>
        <v>254.46960000000001</v>
      </c>
      <c r="C43" s="108">
        <f>483.49224*'Цены на металл '!C12</f>
        <v>483.49223999999998</v>
      </c>
      <c r="D43" s="109">
        <f>1399.5828*'Цены на металл '!D12</f>
        <v>1399.5827999999999</v>
      </c>
      <c r="F43" s="43"/>
      <c r="G43" s="43"/>
    </row>
    <row r="44" spans="1:7">
      <c r="A44" s="97" t="s">
        <v>1953</v>
      </c>
      <c r="B44" s="132">
        <f>293.0256*'Цены на металл '!B12</f>
        <v>293.0256</v>
      </c>
      <c r="C44" s="108">
        <f>556.74864*'Цены на металл '!C12</f>
        <v>556.74864000000002</v>
      </c>
      <c r="D44" s="109">
        <f>1611.6408*'Цены на металл '!D12</f>
        <v>1611.6407999999999</v>
      </c>
      <c r="F44" s="43"/>
      <c r="G44" s="43"/>
    </row>
    <row r="45" spans="1:7">
      <c r="A45" s="97" t="s">
        <v>1954</v>
      </c>
      <c r="B45" s="132">
        <f>351.4104*'Цены на металл '!B12</f>
        <v>351.41039999999998</v>
      </c>
      <c r="C45" s="108">
        <f>667.67976*'Цены на металл '!C12</f>
        <v>667.67975999999999</v>
      </c>
      <c r="D45" s="109">
        <f>1932.7572*'Цены на металл '!D12</f>
        <v>1932.7572</v>
      </c>
      <c r="F45" s="43"/>
      <c r="G45" s="43"/>
    </row>
    <row r="46" spans="1:7">
      <c r="A46" s="187" t="s">
        <v>1957</v>
      </c>
      <c r="B46" s="132"/>
      <c r="C46" s="108"/>
      <c r="D46" s="110"/>
      <c r="F46" s="43"/>
      <c r="G46" s="43"/>
    </row>
    <row r="47" spans="1:7">
      <c r="A47" s="97" t="s">
        <v>1980</v>
      </c>
      <c r="B47" s="132">
        <f>88.128*'Цены на металл '!B12</f>
        <v>88.128</v>
      </c>
      <c r="C47" s="108">
        <f>167.4432*'Цены на металл '!C12</f>
        <v>167.44319999999999</v>
      </c>
      <c r="D47" s="110" t="s">
        <v>770</v>
      </c>
      <c r="F47" s="43"/>
      <c r="G47" s="43"/>
    </row>
    <row r="48" spans="1:7">
      <c r="A48" s="97" t="s">
        <v>1981</v>
      </c>
      <c r="B48" s="132">
        <f>119.5236*'Цены на металл '!B12</f>
        <v>119.5236</v>
      </c>
      <c r="C48" s="108">
        <f>227.09484*'Цены на металл '!C12</f>
        <v>227.09484</v>
      </c>
      <c r="D48" s="110" t="s">
        <v>770</v>
      </c>
      <c r="F48" s="43"/>
      <c r="G48" s="43"/>
    </row>
    <row r="49" spans="1:7">
      <c r="A49" s="97" t="s">
        <v>1982</v>
      </c>
      <c r="B49" s="132">
        <f>126.684*'Цены на металл '!B12</f>
        <v>126.684</v>
      </c>
      <c r="C49" s="108">
        <f>240.6996*'Цены на металл '!C12</f>
        <v>240.6996</v>
      </c>
      <c r="D49" s="110" t="s">
        <v>770</v>
      </c>
      <c r="F49" s="43"/>
      <c r="G49" s="43"/>
    </row>
    <row r="50" spans="1:7">
      <c r="A50" s="97" t="s">
        <v>1983</v>
      </c>
      <c r="B50" s="132">
        <f>169.6464*'Цены на металл '!B12</f>
        <v>169.6464</v>
      </c>
      <c r="C50" s="108">
        <f>322.32816*'Цены на металл '!C12</f>
        <v>322.32816000000003</v>
      </c>
      <c r="D50" s="110" t="s">
        <v>770</v>
      </c>
      <c r="F50" s="43"/>
      <c r="G50" s="43"/>
    </row>
    <row r="51" spans="1:7">
      <c r="A51" s="97" t="s">
        <v>1984</v>
      </c>
      <c r="B51" s="132">
        <f>202.6944*'Цены на металл '!B12</f>
        <v>202.6944</v>
      </c>
      <c r="C51" s="108">
        <f>385.11936*'Цены на металл '!C12</f>
        <v>385.11935999999997</v>
      </c>
      <c r="D51" s="110" t="s">
        <v>770</v>
      </c>
      <c r="G51" s="43"/>
    </row>
    <row r="52" spans="1:7">
      <c r="A52" s="97" t="s">
        <v>1985</v>
      </c>
      <c r="B52" s="132">
        <f>267.6888*'Цены на металл '!B12</f>
        <v>267.68880000000001</v>
      </c>
      <c r="C52" s="108">
        <f>508.60872*'Цены на металл '!C12</f>
        <v>508.60872000000001</v>
      </c>
      <c r="D52" s="110" t="s">
        <v>770</v>
      </c>
      <c r="G52" s="43"/>
    </row>
    <row r="53" spans="1:7">
      <c r="A53" s="97" t="s">
        <v>1986</v>
      </c>
      <c r="B53" s="132">
        <f>315.0576*'Цены на металл '!B12</f>
        <v>315.05759999999998</v>
      </c>
      <c r="C53" s="108">
        <f>598.60944*'Цены на металл '!C12</f>
        <v>598.60943999999995</v>
      </c>
      <c r="D53" s="110" t="s">
        <v>770</v>
      </c>
      <c r="G53" s="43"/>
    </row>
    <row r="54" spans="1:7">
      <c r="A54" s="97" t="s">
        <v>1987</v>
      </c>
      <c r="B54" s="132">
        <f>363.528*'Цены на металл '!B12</f>
        <v>363.52800000000002</v>
      </c>
      <c r="C54" s="108">
        <f>690.7032*'Цены на металл '!C12</f>
        <v>690.70320000000004</v>
      </c>
      <c r="D54" s="110" t="s">
        <v>770</v>
      </c>
      <c r="G54" s="43"/>
    </row>
    <row r="55" spans="1:7">
      <c r="A55" s="97" t="s">
        <v>1999</v>
      </c>
      <c r="B55" s="132">
        <f>132.192*'Цены на металл '!B12</f>
        <v>132.19200000000001</v>
      </c>
      <c r="C55" s="108">
        <f>251.1648*'Цены на металл '!C12</f>
        <v>251.16480000000001</v>
      </c>
      <c r="D55" s="110" t="s">
        <v>770</v>
      </c>
      <c r="G55" s="43"/>
    </row>
    <row r="56" spans="1:7">
      <c r="A56" s="97" t="s">
        <v>1988</v>
      </c>
      <c r="B56" s="132">
        <f>183.9672*'Цены на металл '!B12</f>
        <v>183.96719999999999</v>
      </c>
      <c r="C56" s="108">
        <f>349.53768*'Цены на металл '!C12</f>
        <v>349.53768000000002</v>
      </c>
      <c r="D56" s="110" t="s">
        <v>770</v>
      </c>
      <c r="G56" s="43"/>
    </row>
    <row r="57" spans="1:7">
      <c r="A57" s="97" t="s">
        <v>1989</v>
      </c>
      <c r="B57" s="132">
        <f>242.352*'Цены на металл '!B12</f>
        <v>242.352</v>
      </c>
      <c r="C57" s="108">
        <f>460.4688*'Цены на металл '!C12</f>
        <v>460.46879999999999</v>
      </c>
      <c r="D57" s="110" t="s">
        <v>770</v>
      </c>
      <c r="G57" s="43"/>
    </row>
    <row r="58" spans="1:7">
      <c r="A58" s="97" t="s">
        <v>1990</v>
      </c>
      <c r="B58" s="132">
        <f>291.924*'Цены на металл '!B12</f>
        <v>291.92399999999998</v>
      </c>
      <c r="C58" s="108">
        <f>554.6556*'Цены на металл '!C12</f>
        <v>554.65560000000005</v>
      </c>
      <c r="D58" s="110" t="s">
        <v>770</v>
      </c>
      <c r="G58" s="43"/>
    </row>
    <row r="59" spans="1:7">
      <c r="A59" s="97" t="s">
        <v>1991</v>
      </c>
      <c r="B59" s="132">
        <f>335.988*'Цены на металл '!B12</f>
        <v>335.988</v>
      </c>
      <c r="C59" s="108">
        <f>638.3772*'Цены на металл '!C12</f>
        <v>638.37720000000002</v>
      </c>
      <c r="D59" s="110" t="s">
        <v>770</v>
      </c>
      <c r="G59" s="43"/>
    </row>
    <row r="60" spans="1:7">
      <c r="A60" s="97" t="s">
        <v>1992</v>
      </c>
      <c r="B60" s="132">
        <f>383.3568*'Цены на металл '!B12</f>
        <v>383.35680000000002</v>
      </c>
      <c r="C60" s="108">
        <f>728.37792*'Цены на металл '!C12</f>
        <v>728.37792000000002</v>
      </c>
      <c r="D60" s="110" t="s">
        <v>770</v>
      </c>
      <c r="G60" s="43"/>
    </row>
    <row r="61" spans="1:7">
      <c r="A61" s="97" t="s">
        <v>1993</v>
      </c>
      <c r="B61" s="132">
        <f>170.748*'Цены на металл '!B12</f>
        <v>170.74799999999999</v>
      </c>
      <c r="C61" s="108">
        <f>324.4212*'Цены на металл '!C12</f>
        <v>324.4212</v>
      </c>
      <c r="D61" s="110" t="s">
        <v>770</v>
      </c>
      <c r="G61" s="43"/>
    </row>
    <row r="62" spans="1:7">
      <c r="A62" s="97" t="s">
        <v>1994</v>
      </c>
      <c r="B62" s="132">
        <f>223.6248*'Цены на металл '!B12</f>
        <v>223.62479999999999</v>
      </c>
      <c r="C62" s="108">
        <f>424.88712*'Цены на металл '!C12</f>
        <v>424.88711999999998</v>
      </c>
      <c r="D62" s="110" t="s">
        <v>770</v>
      </c>
      <c r="G62" s="43"/>
    </row>
    <row r="63" spans="1:7">
      <c r="A63" s="97" t="s">
        <v>1995</v>
      </c>
      <c r="B63" s="132">
        <f>268.7904*'Цены на металл '!B12</f>
        <v>268.79039999999998</v>
      </c>
      <c r="C63" s="108">
        <f>510.70176*'Цены на металл '!C12</f>
        <v>510.70175999999998</v>
      </c>
      <c r="D63" s="110" t="s">
        <v>770</v>
      </c>
      <c r="G63" s="43"/>
    </row>
    <row r="64" spans="1:7">
      <c r="A64" s="97" t="s">
        <v>1996</v>
      </c>
      <c r="B64" s="132">
        <f>317.2608*'Цены на металл '!B12</f>
        <v>317.26080000000002</v>
      </c>
      <c r="C64" s="108">
        <f>602.79552*'Цены на металл '!C12</f>
        <v>602.79552000000001</v>
      </c>
      <c r="D64" s="110" t="s">
        <v>770</v>
      </c>
      <c r="G64" s="43"/>
    </row>
    <row r="65" spans="1:7">
      <c r="A65" s="97" t="s">
        <v>1997</v>
      </c>
      <c r="B65" s="132">
        <f>360.2232*'Цены на металл '!B12</f>
        <v>360.22320000000002</v>
      </c>
      <c r="C65" s="108">
        <f>684.42408*'Цены на металл '!C12</f>
        <v>684.42408</v>
      </c>
      <c r="D65" s="110" t="s">
        <v>770</v>
      </c>
      <c r="G65" s="43"/>
    </row>
    <row r="66" spans="1:7">
      <c r="A66" s="97" t="s">
        <v>1998</v>
      </c>
      <c r="B66" s="132">
        <f>407.592*'Цены на металл '!B12</f>
        <v>407.59199999999998</v>
      </c>
      <c r="C66" s="108">
        <f>774.4248*'Цены на металл '!C12</f>
        <v>774.4248</v>
      </c>
      <c r="D66" s="110" t="s">
        <v>770</v>
      </c>
    </row>
    <row r="67" spans="1:7">
      <c r="A67" s="24" t="s">
        <v>720</v>
      </c>
      <c r="B67" s="133"/>
      <c r="C67" s="96"/>
      <c r="D67" s="99"/>
    </row>
    <row r="68" spans="1:7">
      <c r="A68" s="97" t="s">
        <v>1958</v>
      </c>
      <c r="B68" s="134">
        <f>18.36*'Цены на металл '!B12</f>
        <v>18.36</v>
      </c>
      <c r="C68" s="135" t="s">
        <v>770</v>
      </c>
      <c r="D68" s="111">
        <f>108*'Цены на металл '!D12</f>
        <v>108</v>
      </c>
    </row>
    <row r="69" spans="1:7">
      <c r="A69" s="178" t="s">
        <v>1979</v>
      </c>
      <c r="B69" s="134">
        <f>20.52*'Цены на металл '!B12</f>
        <v>20.52</v>
      </c>
      <c r="C69" s="135" t="s">
        <v>770</v>
      </c>
      <c r="D69" s="111">
        <f>118.8*'Цены на металл '!D12</f>
        <v>118.8</v>
      </c>
    </row>
    <row r="70" spans="1:7">
      <c r="A70" s="97" t="s">
        <v>1959</v>
      </c>
      <c r="B70" s="134">
        <f>9.18*'Цены на металл '!B12</f>
        <v>9.18</v>
      </c>
      <c r="C70" s="135" t="s">
        <v>770</v>
      </c>
      <c r="D70" s="111">
        <f>22.14*'Цены на металл '!D12</f>
        <v>22.14</v>
      </c>
    </row>
    <row r="71" spans="1:7">
      <c r="A71" s="97" t="s">
        <v>1960</v>
      </c>
      <c r="B71" s="134">
        <f>13.5*'Цены на металл '!B12</f>
        <v>13.5</v>
      </c>
      <c r="C71" s="135" t="s">
        <v>770</v>
      </c>
      <c r="D71" s="111">
        <f>34.56*'Цены на металл '!D12</f>
        <v>34.56</v>
      </c>
    </row>
    <row r="72" spans="1:7">
      <c r="A72" s="98" t="s">
        <v>1961</v>
      </c>
      <c r="B72" s="134">
        <f>11.34*'Цены на металл '!B12</f>
        <v>11.34</v>
      </c>
      <c r="C72" s="135" t="s">
        <v>770</v>
      </c>
      <c r="D72" s="111">
        <f>53.46*'Цены на металл '!D12</f>
        <v>53.46</v>
      </c>
    </row>
    <row r="73" spans="1:7">
      <c r="A73" s="178" t="s">
        <v>1962</v>
      </c>
      <c r="B73" s="134">
        <f>31.32*'Цены на металл '!B12</f>
        <v>31.32</v>
      </c>
      <c r="C73" s="135" t="s">
        <v>770</v>
      </c>
      <c r="D73" s="111">
        <f>183.6*'Цены на металл '!D12</f>
        <v>183.6</v>
      </c>
    </row>
    <row r="74" spans="1:7">
      <c r="A74" s="178" t="s">
        <v>1963</v>
      </c>
      <c r="B74" s="134">
        <f>43.2*'Цены на металл '!B12</f>
        <v>43.2</v>
      </c>
      <c r="C74" s="135" t="s">
        <v>770</v>
      </c>
      <c r="D74" s="111">
        <f>151.2*'Цены на металл '!D12</f>
        <v>151.19999999999999</v>
      </c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7"/>
  <dimension ref="A1:I42"/>
  <sheetViews>
    <sheetView zoomScale="115" zoomScaleNormal="11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2" sqref="B12"/>
    </sheetView>
  </sheetViews>
  <sheetFormatPr defaultRowHeight="14.3"/>
  <cols>
    <col min="1" max="1" width="29.125" bestFit="1" customWidth="1"/>
    <col min="2" max="2" width="7.125" style="13" customWidth="1"/>
    <col min="3" max="3" width="7.375" style="13" customWidth="1"/>
    <col min="4" max="4" width="7" customWidth="1"/>
    <col min="5" max="5" width="7.25" customWidth="1"/>
    <col min="7" max="7" width="9.75" customWidth="1"/>
  </cols>
  <sheetData>
    <row r="1" spans="1:9" ht="18.7" customHeight="1">
      <c r="A1" s="11" t="s">
        <v>2</v>
      </c>
      <c r="B1" s="914" t="s">
        <v>1188</v>
      </c>
      <c r="C1" s="915"/>
      <c r="F1" s="33"/>
      <c r="G1" s="33"/>
      <c r="H1" s="33"/>
      <c r="I1" s="33"/>
    </row>
    <row r="2" spans="1:9" ht="17.350000000000001" customHeight="1">
      <c r="A2" s="24" t="s">
        <v>20</v>
      </c>
      <c r="B2" s="23">
        <v>1.2</v>
      </c>
      <c r="C2" s="23">
        <v>1.5</v>
      </c>
      <c r="F2" s="33"/>
      <c r="G2" s="33"/>
      <c r="H2" s="33"/>
      <c r="I2" s="33"/>
    </row>
    <row r="3" spans="1:9" ht="14.95" customHeight="1">
      <c r="A3" s="6" t="s">
        <v>1912</v>
      </c>
      <c r="B3" s="93">
        <f>144.02*'Цены на металл '!B17</f>
        <v>152.66120000000001</v>
      </c>
      <c r="C3" s="93">
        <f>179*'Цены на металл '!C17</f>
        <v>179</v>
      </c>
    </row>
    <row r="4" spans="1:9">
      <c r="A4" s="6" t="s">
        <v>1873</v>
      </c>
      <c r="B4" s="93">
        <f>171*'Цены на металл '!B17</f>
        <v>181.26000000000002</v>
      </c>
      <c r="C4" s="93">
        <f>209*'Цены на металл '!C17</f>
        <v>209</v>
      </c>
    </row>
    <row r="5" spans="1:9">
      <c r="A5" s="6" t="s">
        <v>1874</v>
      </c>
      <c r="B5" s="93">
        <f>203*'Цены на металл '!B17</f>
        <v>215.18</v>
      </c>
      <c r="C5" s="93">
        <f>249*'Цены на металл '!C17</f>
        <v>249</v>
      </c>
    </row>
    <row r="6" spans="1:9">
      <c r="A6" s="6" t="s">
        <v>1875</v>
      </c>
      <c r="B6" s="93">
        <f>235*'Цены на металл '!B17</f>
        <v>249.10000000000002</v>
      </c>
      <c r="C6" s="93">
        <f>289*'Цены на металл '!C17</f>
        <v>289</v>
      </c>
    </row>
    <row r="7" spans="1:9">
      <c r="A7" s="6" t="s">
        <v>1876</v>
      </c>
      <c r="B7" s="93">
        <f>156*'Цены на металл '!B17</f>
        <v>165.36</v>
      </c>
      <c r="C7" s="93">
        <f>189*'Цены на металл '!C17</f>
        <v>189</v>
      </c>
    </row>
    <row r="8" spans="1:9">
      <c r="A8" s="6" t="s">
        <v>1877</v>
      </c>
      <c r="B8" s="93">
        <f>180*'Цены на металл '!B17</f>
        <v>190.8</v>
      </c>
      <c r="C8" s="93">
        <f>219*'Цены на металл '!C17</f>
        <v>219</v>
      </c>
    </row>
    <row r="9" spans="1:9">
      <c r="A9" s="6" t="s">
        <v>1878</v>
      </c>
      <c r="B9" s="93">
        <f>212*'Цены на металл '!B17</f>
        <v>224.72</v>
      </c>
      <c r="C9" s="93">
        <f>259*'Цены на металл '!C17</f>
        <v>259</v>
      </c>
    </row>
    <row r="10" spans="1:9">
      <c r="A10" s="6" t="s">
        <v>1879</v>
      </c>
      <c r="B10" s="93">
        <f>244*'Цены на металл '!B17</f>
        <v>258.64</v>
      </c>
      <c r="C10" s="93">
        <f>299*'Цены на металл '!C17</f>
        <v>299</v>
      </c>
    </row>
    <row r="11" spans="1:9">
      <c r="A11" s="6" t="s">
        <v>1880</v>
      </c>
      <c r="B11" s="93">
        <f>324*'Цены на металл '!B17</f>
        <v>343.44</v>
      </c>
      <c r="C11" s="93">
        <f>399*'Цены на металл '!C17</f>
        <v>399</v>
      </c>
    </row>
    <row r="12" spans="1:9">
      <c r="A12" s="6" t="s">
        <v>1881</v>
      </c>
      <c r="B12" s="93">
        <f>164*'Цены на металл '!B17</f>
        <v>173.84</v>
      </c>
      <c r="C12" s="93">
        <f>200*'Цены на металл '!C17</f>
        <v>200</v>
      </c>
    </row>
    <row r="13" spans="1:9">
      <c r="A13" s="6" t="s">
        <v>1882</v>
      </c>
      <c r="B13" s="93">
        <f>188*'Цены на металл '!B17</f>
        <v>199.28</v>
      </c>
      <c r="C13" s="93">
        <f>229*'Цены на металл '!C17</f>
        <v>229</v>
      </c>
    </row>
    <row r="14" spans="1:9">
      <c r="A14" s="6" t="s">
        <v>1883</v>
      </c>
      <c r="B14" s="93">
        <f>220*'Цены на металл '!B17</f>
        <v>233.20000000000002</v>
      </c>
      <c r="C14" s="93">
        <f>269*'Цены на металл '!C17</f>
        <v>269</v>
      </c>
    </row>
    <row r="15" spans="1:9">
      <c r="A15" s="6" t="s">
        <v>1884</v>
      </c>
      <c r="B15" s="93">
        <f>252*'Цены на металл '!B17</f>
        <v>267.12</v>
      </c>
      <c r="C15" s="93">
        <f>309*'Цены на металл '!C17</f>
        <v>309</v>
      </c>
    </row>
    <row r="16" spans="1:9">
      <c r="A16" s="6" t="s">
        <v>1885</v>
      </c>
      <c r="B16" s="93">
        <f>332*'Цены на металл '!B17</f>
        <v>351.92</v>
      </c>
      <c r="C16" s="93">
        <f>409*'Цены на металл '!C17</f>
        <v>409</v>
      </c>
    </row>
    <row r="17" spans="1:3">
      <c r="A17" s="6" t="s">
        <v>1886</v>
      </c>
      <c r="B17" s="93">
        <f>172*'Цены на металл '!B17</f>
        <v>182.32000000000002</v>
      </c>
      <c r="C17" s="93">
        <f>210*'Цены на металл '!C17</f>
        <v>210</v>
      </c>
    </row>
    <row r="18" spans="1:3">
      <c r="A18" s="6" t="s">
        <v>1887</v>
      </c>
      <c r="B18" s="93">
        <f>196*'Цены на металл '!B17</f>
        <v>207.76000000000002</v>
      </c>
      <c r="C18" s="93">
        <f>240*'Цены на металл '!C17</f>
        <v>240</v>
      </c>
    </row>
    <row r="19" spans="1:3">
      <c r="A19" s="6" t="s">
        <v>1888</v>
      </c>
      <c r="B19" s="93">
        <f>228*'Цены на металл '!B17</f>
        <v>241.68</v>
      </c>
      <c r="C19" s="93">
        <f>280*'Цены на металл '!C17</f>
        <v>280</v>
      </c>
    </row>
    <row r="20" spans="1:3">
      <c r="A20" s="6" t="s">
        <v>1889</v>
      </c>
      <c r="B20" s="93">
        <f>260*'Цены на металл '!B17</f>
        <v>275.60000000000002</v>
      </c>
      <c r="C20" s="93">
        <f>320*'Цены на металл '!C17</f>
        <v>320</v>
      </c>
    </row>
    <row r="21" spans="1:3">
      <c r="A21" s="6" t="s">
        <v>1890</v>
      </c>
      <c r="B21" s="93">
        <f>340*'Цены на металл '!B17</f>
        <v>360.40000000000003</v>
      </c>
      <c r="C21" s="93">
        <f>419*'Цены на металл '!C17</f>
        <v>419</v>
      </c>
    </row>
    <row r="22" spans="1:3">
      <c r="A22" s="6" t="s">
        <v>1891</v>
      </c>
      <c r="B22" s="93">
        <f>180*'Цены на металл '!B17</f>
        <v>190.8</v>
      </c>
      <c r="C22" s="93">
        <f>220*'Цены на металл '!C17</f>
        <v>220</v>
      </c>
    </row>
    <row r="23" spans="1:3">
      <c r="A23" s="6" t="s">
        <v>1892</v>
      </c>
      <c r="B23" s="93">
        <f>205*'Цены на металл '!B17</f>
        <v>217.3</v>
      </c>
      <c r="C23" s="93">
        <f>250*'Цены на металл '!C17</f>
        <v>250</v>
      </c>
    </row>
    <row r="24" spans="1:3">
      <c r="A24" s="6" t="s">
        <v>1893</v>
      </c>
      <c r="B24" s="93">
        <f>237*'Цены на металл '!B17</f>
        <v>251.22</v>
      </c>
      <c r="C24" s="93">
        <f>290*'Цены на металл '!C17</f>
        <v>290</v>
      </c>
    </row>
    <row r="25" spans="1:3">
      <c r="A25" s="6" t="s">
        <v>1894</v>
      </c>
      <c r="B25" s="93">
        <f>269*'Цены на металл '!B17</f>
        <v>285.14</v>
      </c>
      <c r="C25" s="93">
        <f>330*'Цены на металл '!C17</f>
        <v>330</v>
      </c>
    </row>
    <row r="26" spans="1:3">
      <c r="A26" s="6" t="s">
        <v>1895</v>
      </c>
      <c r="B26" s="93">
        <f>349*'Цены на металл '!B17</f>
        <v>369.94</v>
      </c>
      <c r="C26" s="93">
        <f>430*'Цены на металл '!C17</f>
        <v>430</v>
      </c>
    </row>
    <row r="27" spans="1:3">
      <c r="A27" s="6" t="s">
        <v>1896</v>
      </c>
      <c r="B27" s="93">
        <f>197*'Цены на металл '!B17</f>
        <v>208.82000000000002</v>
      </c>
      <c r="C27" s="93">
        <f>241*'Цены на металл '!C17</f>
        <v>241</v>
      </c>
    </row>
    <row r="28" spans="1:3">
      <c r="A28" s="6" t="s">
        <v>1897</v>
      </c>
      <c r="B28" s="93">
        <f>221*'Цены на металл '!B17</f>
        <v>234.26000000000002</v>
      </c>
      <c r="C28" s="93">
        <f>271*'Цены на металл '!C17</f>
        <v>271</v>
      </c>
    </row>
    <row r="29" spans="1:3">
      <c r="A29" s="6" t="s">
        <v>1898</v>
      </c>
      <c r="B29" s="93">
        <f>253*'Цены на металл '!B17</f>
        <v>268.18</v>
      </c>
      <c r="C29" s="93">
        <f>311*'Цены на металл '!C17</f>
        <v>311</v>
      </c>
    </row>
    <row r="30" spans="1:3">
      <c r="A30" s="6" t="s">
        <v>1899</v>
      </c>
      <c r="B30" s="93">
        <f>285*'Цены на металл '!B17</f>
        <v>302.10000000000002</v>
      </c>
      <c r="C30" s="93">
        <f>351*'Цены на металл '!C17</f>
        <v>351</v>
      </c>
    </row>
    <row r="31" spans="1:3">
      <c r="A31" s="6" t="s">
        <v>1900</v>
      </c>
      <c r="B31" s="93">
        <f>365*'Цены на металл '!B17</f>
        <v>386.90000000000003</v>
      </c>
      <c r="C31" s="93">
        <f>450*'Цены на металл '!C17</f>
        <v>450</v>
      </c>
    </row>
    <row r="32" spans="1:3">
      <c r="A32" s="6" t="s">
        <v>1901</v>
      </c>
      <c r="B32" s="93">
        <f>374*'Цены на металл '!B17</f>
        <v>396.44</v>
      </c>
      <c r="C32" s="93">
        <f>461*'Цены на металл '!C17</f>
        <v>461</v>
      </c>
    </row>
    <row r="33" spans="1:3">
      <c r="A33" s="6" t="s">
        <v>1902</v>
      </c>
      <c r="B33" s="93">
        <f>214*'Цены на металл '!B17</f>
        <v>226.84</v>
      </c>
      <c r="C33" s="93">
        <f>262*'Цены на металл '!C17</f>
        <v>262</v>
      </c>
    </row>
    <row r="34" spans="1:3">
      <c r="A34" s="6" t="s">
        <v>1903</v>
      </c>
      <c r="B34" s="93">
        <f>238*'Цены на металл '!B17</f>
        <v>252.28</v>
      </c>
      <c r="C34" s="93">
        <f>292*'Цены на металл '!C17</f>
        <v>292</v>
      </c>
    </row>
    <row r="35" spans="1:3">
      <c r="A35" s="6" t="s">
        <v>1904</v>
      </c>
      <c r="B35" s="93">
        <f>270*'Цены на металл '!B17</f>
        <v>286.2</v>
      </c>
      <c r="C35" s="93">
        <f>331*'Цены на металл '!C17</f>
        <v>331</v>
      </c>
    </row>
    <row r="36" spans="1:3">
      <c r="A36" s="6" t="s">
        <v>1905</v>
      </c>
      <c r="B36" s="93">
        <f>302*'Цены на металл '!B17</f>
        <v>320.12</v>
      </c>
      <c r="C36" s="93">
        <f>371*'Цены на металл '!C17</f>
        <v>371</v>
      </c>
    </row>
    <row r="37" spans="1:3">
      <c r="A37" s="6" t="s">
        <v>1906</v>
      </c>
      <c r="B37" s="93">
        <f>382*'Цены на металл '!B17</f>
        <v>404.92</v>
      </c>
      <c r="C37" s="93">
        <f>471*'Цены на металл '!C17</f>
        <v>471</v>
      </c>
    </row>
    <row r="38" spans="1:3">
      <c r="A38" s="6" t="s">
        <v>1907</v>
      </c>
      <c r="B38" s="93">
        <f>230*'Цены на металл '!B17</f>
        <v>243.8</v>
      </c>
      <c r="C38" s="93">
        <f>282*'Цены на металл '!C17</f>
        <v>282</v>
      </c>
    </row>
    <row r="39" spans="1:3">
      <c r="A39" s="6" t="s">
        <v>1908</v>
      </c>
      <c r="B39" s="93">
        <f>254*'Цены на металл '!B17</f>
        <v>269.24</v>
      </c>
      <c r="C39" s="93">
        <f>312*'Цены на металл '!C17</f>
        <v>312</v>
      </c>
    </row>
    <row r="40" spans="1:3">
      <c r="A40" s="6" t="s">
        <v>1909</v>
      </c>
      <c r="B40" s="93">
        <f>286*'Цены на металл '!B17</f>
        <v>303.16000000000003</v>
      </c>
      <c r="C40" s="93">
        <f>352*'Цены на металл '!C17</f>
        <v>352</v>
      </c>
    </row>
    <row r="41" spans="1:3">
      <c r="A41" s="6" t="s">
        <v>1910</v>
      </c>
      <c r="B41" s="93">
        <f>318*'Цены на металл '!B17</f>
        <v>337.08000000000004</v>
      </c>
      <c r="C41" s="93">
        <f>392*'Цены на металл '!C17</f>
        <v>392</v>
      </c>
    </row>
    <row r="42" spans="1:3">
      <c r="A42" s="6" t="s">
        <v>1911</v>
      </c>
      <c r="B42" s="93">
        <f>399*'Цены на металл '!B17</f>
        <v>422.94</v>
      </c>
      <c r="C42" s="93">
        <f>492*'Цены на металл '!C17</f>
        <v>492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B1:C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Y213"/>
  <sheetViews>
    <sheetView zoomScale="85" zoomScaleNormal="85" workbookViewId="0">
      <pane xSplit="8" ySplit="2" topLeftCell="I3" activePane="bottomRight" state="frozen"/>
      <selection pane="topRight" activeCell="H1" sqref="H1"/>
      <selection pane="bottomLeft" activeCell="A3" sqref="A3"/>
      <selection pane="bottomRight" activeCell="C7" sqref="C7"/>
    </sheetView>
  </sheetViews>
  <sheetFormatPr defaultRowHeight="14.3"/>
  <cols>
    <col min="1" max="1" width="32.625" style="371" bestFit="1" customWidth="1"/>
    <col min="2" max="2" width="7" style="564" bestFit="1" customWidth="1"/>
    <col min="3" max="3" width="6" style="564" bestFit="1" customWidth="1"/>
    <col min="4" max="4" width="7.625" style="564" bestFit="1" customWidth="1"/>
    <col min="5" max="8" width="7.75" style="564" bestFit="1" customWidth="1"/>
    <col min="9" max="14" width="7.75" style="371" bestFit="1" customWidth="1"/>
    <col min="15" max="16" width="8.875" style="371" bestFit="1" customWidth="1"/>
    <col min="17" max="17" width="19.125" customWidth="1"/>
    <col min="18" max="18" width="17.75" customWidth="1"/>
    <col min="19" max="19" width="37.625" bestFit="1" customWidth="1"/>
    <col min="25" max="25" width="11" customWidth="1"/>
  </cols>
  <sheetData>
    <row r="1" spans="1:25" ht="37.549999999999997" customHeight="1" thickBot="1">
      <c r="A1" s="555" t="s">
        <v>2</v>
      </c>
      <c r="B1" s="802" t="s">
        <v>2271</v>
      </c>
      <c r="C1" s="803"/>
      <c r="D1" s="803"/>
      <c r="E1" s="803"/>
      <c r="F1" s="803"/>
      <c r="G1" s="803"/>
      <c r="H1" s="804"/>
      <c r="I1" s="805" t="s">
        <v>2272</v>
      </c>
      <c r="J1" s="806"/>
      <c r="K1" s="807"/>
      <c r="L1" s="799" t="s">
        <v>2273</v>
      </c>
      <c r="M1" s="800"/>
      <c r="N1" s="800"/>
      <c r="O1" s="800"/>
      <c r="P1" s="801"/>
      <c r="Q1" s="747"/>
      <c r="R1" s="797" t="s">
        <v>2304</v>
      </c>
      <c r="S1" s="795" t="s">
        <v>3413</v>
      </c>
    </row>
    <row r="2" spans="1:25" ht="40.6" customHeight="1" thickBot="1">
      <c r="A2" s="556" t="s">
        <v>3481</v>
      </c>
      <c r="B2" s="554">
        <v>0.55000000000000004</v>
      </c>
      <c r="C2" s="554">
        <v>0.7</v>
      </c>
      <c r="D2" s="554">
        <v>0.8</v>
      </c>
      <c r="E2" s="565">
        <v>1</v>
      </c>
      <c r="F2" s="554">
        <v>1.2</v>
      </c>
      <c r="G2" s="554">
        <v>1.5</v>
      </c>
      <c r="H2" s="565">
        <v>2</v>
      </c>
      <c r="I2" s="566">
        <v>1.2</v>
      </c>
      <c r="J2" s="566">
        <v>1.5</v>
      </c>
      <c r="K2" s="567">
        <v>2</v>
      </c>
      <c r="L2" s="576">
        <v>0.55000000000000004</v>
      </c>
      <c r="M2" s="576">
        <v>0.8</v>
      </c>
      <c r="N2" s="577">
        <v>1</v>
      </c>
      <c r="O2" s="576">
        <v>1.2</v>
      </c>
      <c r="P2" s="576">
        <v>1.5</v>
      </c>
      <c r="Q2" s="748">
        <v>65</v>
      </c>
      <c r="R2" s="798"/>
      <c r="S2" s="796"/>
    </row>
    <row r="3" spans="1:25" ht="16.3">
      <c r="A3" s="432" t="s">
        <v>3421</v>
      </c>
      <c r="B3" s="563">
        <f>'ЛП лоток перф (2)'!B3*1.55*($Q$2/100+1)</f>
        <v>111.80934765000001</v>
      </c>
      <c r="C3" s="563">
        <f>'ЛП лоток перф (2)'!C3*1.55*($Q$2/100+1)</f>
        <v>133.595727890625</v>
      </c>
      <c r="D3" s="563">
        <f>'ЛП лоток перф (2)'!D3*1.55*($Q$2/100+1)</f>
        <v>154.14891679687497</v>
      </c>
      <c r="E3" s="563">
        <f>'ЛП лоток перф (2)'!E3*1.63*($Q$2/100+1)</f>
        <v>194.52598790624998</v>
      </c>
      <c r="F3" s="563">
        <f>'ЛП лоток перф (2)'!F3*1.54*($Q$2/100+1)</f>
        <v>224.62646456250002</v>
      </c>
      <c r="G3" s="563">
        <f>'ЛП лоток перф (2)'!G3*1.54*($Q$2/100+1)</f>
        <v>285.88822762499996</v>
      </c>
      <c r="H3" s="563">
        <f>'ЛП лоток перф (2)'!H3*1.54*($Q$2/100+1)</f>
        <v>399.92935578749996</v>
      </c>
      <c r="I3" s="569">
        <f>'ЛП лоток перф (2)'!I3*1.8*($Q$2/100+1)</f>
        <v>382.91967945000005</v>
      </c>
      <c r="J3" s="569">
        <f>'ЛП лоток перф (2)'!J3*1.8*($Q$2/100+1)</f>
        <v>487.35231929999992</v>
      </c>
      <c r="K3" s="569">
        <f>'ЛП лоток перф (2)'!K3*1.8*($Q$2/100+1)</f>
        <v>711.49325940000006</v>
      </c>
      <c r="L3" s="578">
        <f>'ЛП лоток перф (2)'!L3*1.8*($Q$2/100+1)</f>
        <v>697.98017520000008</v>
      </c>
      <c r="M3" s="578">
        <f>'ЛП лоток перф (2)'!M3*1.8*($Q$2/100+1)</f>
        <v>1015.2438912</v>
      </c>
      <c r="N3" s="578">
        <f>'ЛП лоток перф (2)'!N3*1.8*($Q$2/100+1)</f>
        <v>1269.054864</v>
      </c>
      <c r="O3" s="578">
        <f>'ЛП лоток перф (2)'!O3*1.8*($Q$2/100+1)</f>
        <v>1522.8658367999997</v>
      </c>
      <c r="P3" s="578">
        <f>'ЛП лоток перф (2)'!P3*1.8*($Q$2/100+1)</f>
        <v>1903.5822960000003</v>
      </c>
      <c r="R3" s="131"/>
      <c r="Y3" s="13"/>
    </row>
    <row r="4" spans="1:25" ht="16.3">
      <c r="A4" s="433" t="s">
        <v>3420</v>
      </c>
      <c r="B4" s="563">
        <f>'ЛП лоток перф (2)'!B4*1.55*($Q$2/100+1)</f>
        <v>138.43062090000001</v>
      </c>
      <c r="C4" s="563">
        <f>'ЛП лоток перф (2)'!C4*1.55*($Q$2/100+1)</f>
        <v>165.40423453124995</v>
      </c>
      <c r="D4" s="563">
        <f>'ЛП лоток перф (2)'!D4*1.55*($Q$2/100+1)</f>
        <v>190.85103984374999</v>
      </c>
      <c r="E4" s="563">
        <f>'ЛП лоток перф (2)'!E4*1.63*($Q$2/100+1)</f>
        <v>240.84169931249997</v>
      </c>
      <c r="F4" s="563">
        <f>'ЛП лоток перф (2)'!F4*1.54*($Q$2/100+1)</f>
        <v>278.10895612499996</v>
      </c>
      <c r="G4" s="563">
        <f>'ЛП лоток перф (2)'!G4*1.54*($Q$2/100+1)</f>
        <v>353.95685324999988</v>
      </c>
      <c r="H4" s="563">
        <f>'ЛП лоток перф (2)'!H4*1.54*($Q$2/100+1)</f>
        <v>495.1506309749999</v>
      </c>
      <c r="I4" s="569">
        <f>'ЛП лоток перф (2)'!I4*1.8*($Q$2/100+1)</f>
        <v>474.09103169999997</v>
      </c>
      <c r="J4" s="569">
        <f>'ЛП лоток перф (2)'!J4*1.8*($Q$2/100+1)</f>
        <v>603.38858579999999</v>
      </c>
      <c r="K4" s="569">
        <f>'ЛП лоток перф (2)'!K4*1.8*($Q$2/100+1)</f>
        <v>880.89641640000002</v>
      </c>
      <c r="L4" s="578">
        <f>'ЛП лоток перф (2)'!L4*1.8*($Q$2/100+1)</f>
        <v>864.16593119999982</v>
      </c>
      <c r="M4" s="578">
        <f>'ЛП лоток перф (2)'!M4*1.8*($Q$2/100+1)</f>
        <v>1256.9686271999999</v>
      </c>
      <c r="N4" s="578">
        <f>'ЛП лоток перф (2)'!N4*1.8*($Q$2/100+1)</f>
        <v>1571.2107839999999</v>
      </c>
      <c r="O4" s="578">
        <f>'ЛП лоток перф (2)'!O4*1.8*($Q$2/100+1)</f>
        <v>1885.4529407999999</v>
      </c>
      <c r="P4" s="578">
        <f>'ЛП лоток перф (2)'!P4*1.8*($Q$2/100+1)</f>
        <v>2356.8161759999998</v>
      </c>
      <c r="R4" s="131"/>
      <c r="Y4" s="13"/>
    </row>
    <row r="5" spans="1:25" ht="16.3">
      <c r="A5" s="433" t="s">
        <v>3418</v>
      </c>
      <c r="B5" s="563">
        <f>'ЛП лоток перф (2)'!B5*1.55*($Q$2/100+1)</f>
        <v>156.17813639999997</v>
      </c>
      <c r="C5" s="563">
        <f>'ЛП лоток перф (2)'!C5*1.55*($Q$2/100+1)</f>
        <v>186.60990562499998</v>
      </c>
      <c r="D5" s="563">
        <f>'ЛП лоток перф (2)'!D5*1.55*($Q$2/100+1)</f>
        <v>215.31912187499995</v>
      </c>
      <c r="E5" s="563">
        <f>'ЛП лоток перф (2)'!E5*1.63*($Q$2/100+1)</f>
        <v>271.71884024999991</v>
      </c>
      <c r="F5" s="563">
        <f>'ЛП лоток перф (2)'!F5*1.54*($Q$2/100+1)</f>
        <v>313.76395049999996</v>
      </c>
      <c r="G5" s="563">
        <f>'ЛП лоток перф (2)'!G5*1.54*($Q$2/100+1)</f>
        <v>399.33593699999994</v>
      </c>
      <c r="H5" s="563">
        <f>'ЛП лоток перф (2)'!H5*1.54*($Q$2/100+1)</f>
        <v>558.63148109999997</v>
      </c>
      <c r="I5" s="569">
        <f>'ЛП лоток перф (2)'!I5*1.8*($Q$2/100+1)</f>
        <v>534.87193320000006</v>
      </c>
      <c r="J5" s="569">
        <f>'ЛП лоток перф (2)'!J5*1.8*($Q$2/100+1)</f>
        <v>680.74609679999992</v>
      </c>
      <c r="K5" s="569">
        <f>'ЛП лоток перф (2)'!K5*1.8*($Q$2/100+1)</f>
        <v>993.83185439999988</v>
      </c>
      <c r="L5" s="578">
        <f>'ЛП лоток перф (2)'!L5*1.8*($Q$2/100+1)</f>
        <v>974.95643519999999</v>
      </c>
      <c r="M5" s="578">
        <f>'ЛП лоток перф (2)'!M5*1.8*($Q$2/100+1)</f>
        <v>1418.1184512000002</v>
      </c>
      <c r="N5" s="578">
        <f>'ЛП лоток перф (2)'!N5*1.8*($Q$2/100+1)</f>
        <v>1772.6480639999997</v>
      </c>
      <c r="O5" s="578">
        <f>'ЛП лоток перф (2)'!O5*1.8*($Q$2/100+1)</f>
        <v>2127.1776768</v>
      </c>
      <c r="P5" s="578">
        <f>'ЛП лоток перф (2)'!P5*1.8*($Q$2/100+1)</f>
        <v>2658.972096</v>
      </c>
      <c r="Y5" s="13"/>
    </row>
    <row r="6" spans="1:25" ht="16.3">
      <c r="A6" s="434" t="s">
        <v>3419</v>
      </c>
      <c r="B6" s="563">
        <f>'ЛП лоток перф (2)'!B6*1.55*($Q$2/100+1)</f>
        <v>129.55686315</v>
      </c>
      <c r="C6" s="563">
        <f>'ЛП лоток перф (2)'!C6*1.55*($Q$2/100+1)</f>
        <v>154.801398984375</v>
      </c>
      <c r="D6" s="563">
        <f>'ЛП лоток перф (2)'!D6*1.55*($Q$2/100+1)</f>
        <v>178.61699882812496</v>
      </c>
      <c r="E6" s="563">
        <f>'ЛП лоток перф (2)'!E6*1.63*($Q$2/100+1)</f>
        <v>225.40312884374995</v>
      </c>
      <c r="F6" s="563">
        <f>'ЛП лоток перф (2)'!F6*1.54*($Q$2/100+1)</f>
        <v>260.28145893749996</v>
      </c>
      <c r="G6" s="563">
        <f>'ЛП лоток перф (2)'!G6*1.54*($Q$2/100+1)</f>
        <v>331.26731137499996</v>
      </c>
      <c r="H6" s="563">
        <f>'ЛП лоток перф (2)'!H6*1.54*($Q$2/100+1)</f>
        <v>463.41020591250003</v>
      </c>
      <c r="I6" s="569">
        <f>'ЛП лоток перф (2)'!I6*1.8*($Q$2/100+1)</f>
        <v>443.70058095000002</v>
      </c>
      <c r="J6" s="569">
        <f>'ЛП лоток перф (2)'!J6*1.8*($Q$2/100+1)</f>
        <v>564.70983029999991</v>
      </c>
      <c r="K6" s="569">
        <f>'ЛП лоток перф (2)'!K6*1.8*($Q$2/100+1)</f>
        <v>824.42869739999992</v>
      </c>
      <c r="L6" s="578">
        <f>'ЛП лоток перф (2)'!L6*1.8*($Q$2/100+1)</f>
        <v>808.7706791999999</v>
      </c>
      <c r="M6" s="578">
        <f>'ЛП лоток перф (2)'!M6*1.8*($Q$2/100+1)</f>
        <v>1176.3937151999999</v>
      </c>
      <c r="N6" s="578">
        <f>'ЛП лоток перф (2)'!N6*1.8*($Q$2/100+1)</f>
        <v>1470.4921439999998</v>
      </c>
      <c r="O6" s="578">
        <f>'ЛП лоток перф (2)'!O6*1.8*($Q$2/100+1)</f>
        <v>1764.5905728</v>
      </c>
      <c r="P6" s="578">
        <f>'ЛП лоток перф (2)'!P6*1.8*($Q$2/100+1)</f>
        <v>2205.7382159999997</v>
      </c>
      <c r="Y6" s="13"/>
    </row>
    <row r="7" spans="1:25" ht="16.3">
      <c r="A7" s="433" t="s">
        <v>3417</v>
      </c>
      <c r="B7" s="563">
        <f>'ЛП лоток перф (2)'!B7*1.55*($Q$2/100+1)</f>
        <v>182.79940964999997</v>
      </c>
      <c r="C7" s="563">
        <f>'ЛП лоток перф (2)'!C7*1.55*($Q$2/100+1)</f>
        <v>218.41841226562494</v>
      </c>
      <c r="D7" s="563">
        <f>'ЛП лоток перф (2)'!D7*1.55*($Q$2/100+1)</f>
        <v>252.02124492187497</v>
      </c>
      <c r="E7" s="563">
        <f>'ЛП лоток перф (2)'!E7*1.63*($Q$2/100+1)</f>
        <v>318.0345516562499</v>
      </c>
      <c r="F7" s="563">
        <f>'ЛП лоток перф (2)'!F7*1.54*($Q$2/100+1)</f>
        <v>367.24644206249991</v>
      </c>
      <c r="G7" s="563">
        <f>'ЛП лоток перф (2)'!G7*1.54*($Q$2/100+1)</f>
        <v>467.40456262499987</v>
      </c>
      <c r="H7" s="563">
        <f>'ЛП лоток перф (2)'!H7*1.54*($Q$2/100+1)</f>
        <v>653.8527562874998</v>
      </c>
      <c r="I7" s="569">
        <f>'ЛП лоток перф (2)'!I7*1.8*($Q$2/100+1)</f>
        <v>626.04328544999998</v>
      </c>
      <c r="J7" s="569">
        <f>'ЛП лоток перф (2)'!J7*1.8*($Q$2/100+1)</f>
        <v>796.7823632999997</v>
      </c>
      <c r="K7" s="569">
        <f>'ЛП лоток перф (2)'!K7*1.8*($Q$2/100+1)</f>
        <v>1163.2350113999998</v>
      </c>
      <c r="L7" s="578">
        <f>'ЛП лоток перф (2)'!L7*1.8*($Q$2/100+1)</f>
        <v>1141.1421911999998</v>
      </c>
      <c r="M7" s="578">
        <f>'ЛП лоток перф (2)'!M7*1.8*($Q$2/100+1)</f>
        <v>1659.8431872000001</v>
      </c>
      <c r="N7" s="578">
        <f>'ЛП лоток перф (2)'!N7*1.8*($Q$2/100+1)</f>
        <v>2074.8039839999997</v>
      </c>
      <c r="O7" s="578">
        <f>'ЛП лоток перф (2)'!O7*1.8*($Q$2/100+1)</f>
        <v>2489.7647807999992</v>
      </c>
      <c r="P7" s="578">
        <f>'ЛП лоток перф (2)'!P7*1.8*($Q$2/100+1)</f>
        <v>3112.2059759999997</v>
      </c>
      <c r="Y7" s="13"/>
    </row>
    <row r="8" spans="1:25" ht="16.3">
      <c r="A8" s="433" t="s">
        <v>3416</v>
      </c>
      <c r="B8" s="563">
        <f>'ЛП лоток перф (2)'!B8*1.55*($Q$2/100+1)</f>
        <v>156.17813639999997</v>
      </c>
      <c r="C8" s="563">
        <f>'ЛП лоток перф (2)'!C8*1.55*($Q$2/100+1)</f>
        <v>186.60990562499998</v>
      </c>
      <c r="D8" s="563">
        <f>'ЛП лоток перф (2)'!D8*1.55*($Q$2/100+1)</f>
        <v>215.31912187499995</v>
      </c>
      <c r="E8" s="563">
        <f>'ЛП лоток перф (2)'!E8*1.63*($Q$2/100+1)</f>
        <v>271.71884024999991</v>
      </c>
      <c r="F8" s="563">
        <f>'ЛП лоток перф (2)'!F8*1.54*($Q$2/100+1)</f>
        <v>313.76395049999996</v>
      </c>
      <c r="G8" s="563">
        <f>'ЛП лоток перф (2)'!G8*1.54*($Q$2/100+1)</f>
        <v>399.33593699999994</v>
      </c>
      <c r="H8" s="563">
        <f>'ЛП лоток перф (2)'!H8*1.54*($Q$2/100+1)</f>
        <v>558.63148109999997</v>
      </c>
      <c r="I8" s="569">
        <f>'ЛП лоток перф (2)'!I8*1.8*($Q$2/100+1)</f>
        <v>534.87193320000006</v>
      </c>
      <c r="J8" s="569">
        <f>'ЛП лоток перф (2)'!J8*1.8*($Q$2/100+1)</f>
        <v>680.74609679999992</v>
      </c>
      <c r="K8" s="569">
        <f>'ЛП лоток перф (2)'!K8*1.8*($Q$2/100+1)</f>
        <v>993.83185439999988</v>
      </c>
      <c r="L8" s="578">
        <f>'ЛП лоток перф (2)'!L8*1.8*($Q$2/100+1)</f>
        <v>974.95643519999999</v>
      </c>
      <c r="M8" s="578">
        <f>'ЛП лоток перф (2)'!M8*1.8*($Q$2/100+1)</f>
        <v>1418.1184512000002</v>
      </c>
      <c r="N8" s="578">
        <f>'ЛП лоток перф (2)'!N8*1.8*($Q$2/100+1)</f>
        <v>1772.6480639999997</v>
      </c>
      <c r="O8" s="578">
        <f>'ЛП лоток перф (2)'!O8*1.8*($Q$2/100+1)</f>
        <v>2127.1776768</v>
      </c>
      <c r="P8" s="578">
        <f>'ЛП лоток перф (2)'!P8*1.8*($Q$2/100+1)</f>
        <v>2658.972096</v>
      </c>
      <c r="Y8" s="13"/>
    </row>
    <row r="9" spans="1:25" ht="16.3">
      <c r="A9" s="433" t="s">
        <v>3414</v>
      </c>
      <c r="B9" s="563">
        <f>'ЛП лоток перф (2)'!B9*1.55*($Q$2/100+1)</f>
        <v>200.54692514999999</v>
      </c>
      <c r="C9" s="563">
        <f>'ЛП лоток перф (2)'!C9*1.55*($Q$2/100+1)</f>
        <v>239.62408335937496</v>
      </c>
      <c r="D9" s="563">
        <f>'ЛП лоток перф (2)'!D9*1.55*($Q$2/100+1)</f>
        <v>276.48932695312499</v>
      </c>
      <c r="E9" s="563">
        <f>'ЛП лоток перф (2)'!E9*1.63*($Q$2/100+1)</f>
        <v>348.91169259374988</v>
      </c>
      <c r="F9" s="563">
        <f>'ЛП лоток перф (2)'!F9*1.54*($Q$2/100+1)</f>
        <v>402.90143643750002</v>
      </c>
      <c r="G9" s="563">
        <f>'ЛП лоток перф (2)'!G9*1.54*($Q$2/100+1)</f>
        <v>512.78364637499999</v>
      </c>
      <c r="H9" s="563">
        <f>'ЛП лоток перф (2)'!H9*1.54*($Q$2/100+1)</f>
        <v>717.3336064125001</v>
      </c>
      <c r="I9" s="569">
        <f>'ЛП лоток перф (2)'!I9*1.8*($Q$2/100+1)</f>
        <v>686.82418695000001</v>
      </c>
      <c r="J9" s="569">
        <f>'ЛП лоток перф (2)'!J9*1.8*($Q$2/100+1)</f>
        <v>874.13987429999997</v>
      </c>
      <c r="K9" s="569">
        <f>'ЛП лоток перф (2)'!K9*1.8*($Q$2/100+1)</f>
        <v>1276.1704494000001</v>
      </c>
      <c r="L9" s="578">
        <f>'ЛП лоток перф (2)'!L9*1.8*($Q$2/100+1)</f>
        <v>1251.9326952000001</v>
      </c>
      <c r="M9" s="578">
        <f>'ЛП лоток перф (2)'!M9*1.8*($Q$2/100+1)</f>
        <v>1820.9930112</v>
      </c>
      <c r="N9" s="578">
        <f>'ЛП лоток перф (2)'!N9*1.8*($Q$2/100+1)</f>
        <v>2276.2412639999998</v>
      </c>
      <c r="O9" s="578">
        <f>'ЛП лоток перф (2)'!O9*1.8*($Q$2/100+1)</f>
        <v>2731.4895167999998</v>
      </c>
      <c r="P9" s="578">
        <f>'ЛП лоток перф (2)'!P9*1.8*($Q$2/100+1)</f>
        <v>3414.3618960000003</v>
      </c>
      <c r="Y9" s="13"/>
    </row>
    <row r="10" spans="1:25" ht="16.3">
      <c r="A10" s="433" t="s">
        <v>3415</v>
      </c>
      <c r="B10" s="563">
        <f>'ЛП лоток перф (2)'!B10*1.55*($Q$2/100+1)</f>
        <v>209.42068289999997</v>
      </c>
      <c r="C10" s="563">
        <f>'ЛП лоток перф (2)'!C10*1.55*($Q$2/100+1)</f>
        <v>250.22691890624992</v>
      </c>
      <c r="D10" s="563">
        <f>'ЛП лоток перф (2)'!D10*1.55*($Q$2/100+1)</f>
        <v>288.72336796874993</v>
      </c>
      <c r="E10" s="563">
        <f>'ЛП лоток перф (2)'!E10*1.63*($Q$2/100+1)</f>
        <v>364.35026306249983</v>
      </c>
      <c r="F10" s="563">
        <f>'ЛП лоток перф (2)'!F10*1.54*($Q$2/100+1)</f>
        <v>420.72893362499997</v>
      </c>
      <c r="G10" s="563">
        <f>'ЛП лоток перф (2)'!G10*1.54*($Q$2/100+1)</f>
        <v>535.47318824999991</v>
      </c>
      <c r="H10" s="563">
        <f>'ЛП лоток перф (2)'!H10*1.54*($Q$2/100+1)</f>
        <v>749.07403147499986</v>
      </c>
      <c r="I10" s="569">
        <f>'ЛП лоток перф (2)'!I10*1.8*($Q$2/100+1)</f>
        <v>717.21463769999991</v>
      </c>
      <c r="J10" s="569">
        <f>'ЛП лоток перф (2)'!J10*1.8*($Q$2/100+1)</f>
        <v>912.81862979999983</v>
      </c>
      <c r="K10" s="569">
        <f>'ЛП лоток перф (2)'!K10*1.8*($Q$2/100+1)</f>
        <v>1332.6381683999998</v>
      </c>
      <c r="L10" s="578">
        <f>'ЛП лоток перф (2)'!L10*1.8*($Q$2/100+1)</f>
        <v>1307.3279471999997</v>
      </c>
      <c r="M10" s="578">
        <f>'ЛП лоток перф (2)'!M10*1.8*($Q$2/100+1)</f>
        <v>1901.5679232</v>
      </c>
      <c r="N10" s="578">
        <f>'ЛП лоток перф (2)'!N10*1.8*($Q$2/100+1)</f>
        <v>2376.9599039999994</v>
      </c>
      <c r="O10" s="578">
        <f>'ЛП лоток перф (2)'!O10*1.8*($Q$2/100+1)</f>
        <v>2852.3518847999994</v>
      </c>
      <c r="P10" s="578">
        <f>'ЛП лоток перф (2)'!P10*1.8*($Q$2/100+1)</f>
        <v>3565.439856</v>
      </c>
      <c r="Y10" s="13"/>
    </row>
    <row r="11" spans="1:25" ht="16.3">
      <c r="A11" s="433" t="s">
        <v>3386</v>
      </c>
      <c r="B11" s="563">
        <f>'ЛП лоток перф (2)'!B11*1.55*($Q$2/100+1)</f>
        <v>236.04195615</v>
      </c>
      <c r="C11" s="563">
        <f>'ЛП лоток перф (2)'!C11*1.55*($Q$2/100+1)</f>
        <v>282.03542554687499</v>
      </c>
      <c r="D11" s="563">
        <f>'ЛП лоток перф (2)'!D11*1.55*($Q$2/100+1)</f>
        <v>325.42549101562497</v>
      </c>
      <c r="E11" s="563">
        <f>'ЛП лоток перф (2)'!E11*1.63*($Q$2/100+1)</f>
        <v>410.66597446874994</v>
      </c>
      <c r="F11" s="563">
        <f>'ЛП лоток перф (2)'!F11*1.54*($Q$2/100+1)</f>
        <v>474.21142518750003</v>
      </c>
      <c r="G11" s="563">
        <f>'ЛП лоток перф (2)'!G11*1.54*($Q$2/100+1)</f>
        <v>603.541813875</v>
      </c>
      <c r="H11" s="563">
        <f>'ЛП лоток перф (2)'!H11*1.54*($Q$2/100+1)</f>
        <v>844.2953066624998</v>
      </c>
      <c r="I11" s="569">
        <f>'ЛП лоток перф (2)'!I11*1.8*($Q$2/100+1)</f>
        <v>808.38598994999995</v>
      </c>
      <c r="J11" s="569">
        <f>'ЛП лоток перф (2)'!J11*1.8*($Q$2/100+1)</f>
        <v>1028.8548962999998</v>
      </c>
      <c r="K11" s="569">
        <f>'ЛП лоток перф (2)'!K11*1.8*($Q$2/100+1)</f>
        <v>1502.0413254000002</v>
      </c>
      <c r="L11" s="578">
        <f>'ЛП лоток перф (2)'!L11*1.8*($Q$2/100+1)</f>
        <v>1473.5137032</v>
      </c>
      <c r="M11" s="578">
        <f>'ЛП лоток перф (2)'!M11*1.8*($Q$2/100+1)</f>
        <v>2143.2926592000003</v>
      </c>
      <c r="N11" s="578">
        <f>'ЛП лоток перф (2)'!N11*1.8*($Q$2/100+1)</f>
        <v>2679.1158239999995</v>
      </c>
      <c r="O11" s="578">
        <f>'ЛП лоток перф (2)'!O11*1.8*($Q$2/100+1)</f>
        <v>3214.9389887999996</v>
      </c>
      <c r="P11" s="578">
        <f>'ЛП лоток перф (2)'!P11*1.8*($Q$2/100+1)</f>
        <v>4018.6737359999997</v>
      </c>
      <c r="Y11" s="13"/>
    </row>
    <row r="12" spans="1:25" ht="16.3">
      <c r="A12" s="433" t="s">
        <v>3387</v>
      </c>
      <c r="B12" s="563">
        <f>'ЛП лоток перф (2)'!B12*1.55*($Q$2/100+1)</f>
        <v>271.53698714999996</v>
      </c>
      <c r="C12" s="563">
        <f>'ЛП лоток перф (2)'!C12*1.55*($Q$2/100+1)</f>
        <v>324.44676773437499</v>
      </c>
      <c r="D12" s="563">
        <f>'ЛП лоток перф (2)'!D12*1.55*($Q$2/100+1)</f>
        <v>374.36165507812501</v>
      </c>
      <c r="E12" s="563">
        <f>'ЛП лоток перф (2)'!E12*1.63*($Q$2/100+1)</f>
        <v>472.42025634374994</v>
      </c>
      <c r="F12" s="563">
        <f>'ЛП лоток перф (2)'!F12*1.54*($Q$2/100+1)</f>
        <v>545.52141393750003</v>
      </c>
      <c r="G12" s="563">
        <f>'ЛП лоток перф (2)'!G12*1.54*($Q$2/100+1)</f>
        <v>694.2999813749999</v>
      </c>
      <c r="H12" s="563">
        <f>'ЛП лоток перф (2)'!H12*1.54*($Q$2/100+1)</f>
        <v>971.25700691249995</v>
      </c>
      <c r="I12" s="569">
        <f>'ЛП лоток перф (2)'!I12*1.8*($Q$2/100+1)</f>
        <v>929.94779295000001</v>
      </c>
      <c r="J12" s="569">
        <f>'ЛП лоток перф (2)'!J12*1.8*($Q$2/100+1)</f>
        <v>1183.5699182999997</v>
      </c>
      <c r="K12" s="569">
        <f>'ЛП лоток перф (2)'!K12*1.8*($Q$2/100+1)</f>
        <v>1727.9122014000002</v>
      </c>
      <c r="L12" s="578">
        <f>'ЛП лоток перф (2)'!L12*1.8*($Q$2/100+1)</f>
        <v>1695.0947111999999</v>
      </c>
      <c r="M12" s="578">
        <f>'ЛП лоток перф (2)'!M12*1.8*($Q$2/100+1)</f>
        <v>2465.5923072000001</v>
      </c>
      <c r="N12" s="578">
        <f>'ЛП лоток перф (2)'!N12*1.8*($Q$2/100+1)</f>
        <v>3081.9903840000002</v>
      </c>
      <c r="O12" s="578">
        <f>'ЛП лоток перф (2)'!O12*1.8*($Q$2/100+1)</f>
        <v>3698.3884607999998</v>
      </c>
      <c r="P12" s="578">
        <f>'ЛП лоток перф (2)'!P12*1.8*($Q$2/100+1)</f>
        <v>4622.985576</v>
      </c>
      <c r="Y12" s="13"/>
    </row>
    <row r="13" spans="1:25" ht="16.3">
      <c r="A13" s="433" t="s">
        <v>3409</v>
      </c>
      <c r="B13" s="563">
        <f>'ЛП лоток перф (2)'!B13*1.55*($Q$2/100+1)</f>
        <v>200.54692514999999</v>
      </c>
      <c r="C13" s="563">
        <f>'ЛП лоток перф (2)'!C13*1.55*($Q$2/100+1)</f>
        <v>239.62408335937496</v>
      </c>
      <c r="D13" s="563">
        <f>'ЛП лоток перф (2)'!D13*1.55*($Q$2/100+1)</f>
        <v>276.48932695312499</v>
      </c>
      <c r="E13" s="563">
        <f>'ЛП лоток перф (2)'!E13*1.63*($Q$2/100+1)</f>
        <v>348.91169259374988</v>
      </c>
      <c r="F13" s="563">
        <f>'ЛП лоток перф (2)'!F13*1.54*($Q$2/100+1)</f>
        <v>402.90143643750002</v>
      </c>
      <c r="G13" s="563">
        <f>'ЛП лоток перф (2)'!G13*1.54*($Q$2/100+1)</f>
        <v>512.78364637499999</v>
      </c>
      <c r="H13" s="563">
        <f>'ЛП лоток перф (2)'!H13*1.54*($Q$2/100+1)</f>
        <v>717.3336064125001</v>
      </c>
      <c r="I13" s="569">
        <f>'ЛП лоток перф (2)'!I13*1.8*($Q$2/100+1)</f>
        <v>686.82418695000001</v>
      </c>
      <c r="J13" s="569">
        <f>'ЛП лоток перф (2)'!J13*1.8*($Q$2/100+1)</f>
        <v>874.13987429999997</v>
      </c>
      <c r="K13" s="569">
        <f>'ЛП лоток перф (2)'!K13*1.8*($Q$2/100+1)</f>
        <v>1276.1704494000001</v>
      </c>
      <c r="L13" s="578">
        <f>'ЛП лоток перф (2)'!L13*1.8*($Q$2/100+1)</f>
        <v>1251.9326952000001</v>
      </c>
      <c r="M13" s="578">
        <f>'ЛП лоток перф (2)'!M13*1.8*($Q$2/100+1)</f>
        <v>1820.9930112</v>
      </c>
      <c r="N13" s="578">
        <f>'ЛП лоток перф (2)'!N13*1.8*($Q$2/100+1)</f>
        <v>2276.2412639999998</v>
      </c>
      <c r="O13" s="578">
        <f>'ЛП лоток перф (2)'!O13*1.8*($Q$2/100+1)</f>
        <v>2731.4895167999998</v>
      </c>
      <c r="P13" s="578">
        <f>'ЛП лоток перф (2)'!P13*1.8*($Q$2/100+1)</f>
        <v>3414.3618960000003</v>
      </c>
    </row>
    <row r="14" spans="1:25" ht="16.3">
      <c r="A14" s="433" t="s">
        <v>3410</v>
      </c>
      <c r="B14" s="563">
        <f>'ЛП лоток перф (2)'!B14*1.55*($Q$2/100+1)</f>
        <v>227.16819839999999</v>
      </c>
      <c r="C14" s="563">
        <f>'ЛП лоток перф (2)'!C14*1.55*($Q$2/100+1)</f>
        <v>271.43258999999995</v>
      </c>
      <c r="D14" s="563">
        <f>'ЛП лоток перф (2)'!D14*1.55*($Q$2/100+1)</f>
        <v>313.19144999999997</v>
      </c>
      <c r="E14" s="563">
        <f>'ЛП лоток перф (2)'!E14*1.63*($Q$2/100+1)</f>
        <v>395.22740399999986</v>
      </c>
      <c r="F14" s="563">
        <f>'ЛП лоток перф (2)'!F14*1.54*($Q$2/100+1)</f>
        <v>456.38392800000008</v>
      </c>
      <c r="G14" s="563">
        <f>'ЛП лоток перф (2)'!G14*1.54*($Q$2/100+1)</f>
        <v>580.85227199999986</v>
      </c>
      <c r="H14" s="563">
        <f>'ЛП лоток перф (2)'!H14*1.54*($Q$2/100+1)</f>
        <v>812.55488159999982</v>
      </c>
      <c r="I14" s="569">
        <f>'ЛП лоток перф (2)'!I14*1.8*($Q$2/100+1)</f>
        <v>777.99553920000005</v>
      </c>
      <c r="J14" s="569">
        <f>'ЛП лоток перф (2)'!J14*1.8*($Q$2/100+1)</f>
        <v>990.17614079999976</v>
      </c>
      <c r="K14" s="569">
        <f>'ЛП лоток перф (2)'!K14*1.8*($Q$2/100+1)</f>
        <v>1445.5736064</v>
      </c>
      <c r="L14" s="578">
        <f>'ЛП лоток перф (2)'!L14*1.8*($Q$2/100+1)</f>
        <v>1418.1184512000002</v>
      </c>
      <c r="M14" s="578">
        <f>'ЛП лоток перф (2)'!M14*1.8*($Q$2/100+1)</f>
        <v>2062.7177471999998</v>
      </c>
      <c r="N14" s="578">
        <f>'ЛП лоток перф (2)'!N14*1.8*($Q$2/100+1)</f>
        <v>2578.3971839999995</v>
      </c>
      <c r="O14" s="578">
        <f>'ЛП лоток перф (2)'!O14*1.8*($Q$2/100+1)</f>
        <v>3094.0766208</v>
      </c>
      <c r="P14" s="578">
        <f>'ЛП лоток перф (2)'!P14*1.8*($Q$2/100+1)</f>
        <v>3867.5957759999992</v>
      </c>
    </row>
    <row r="15" spans="1:25" ht="16.5" customHeight="1">
      <c r="A15" s="433" t="s">
        <v>3411</v>
      </c>
      <c r="B15" s="563">
        <f>'ЛП лоток перф (2)'!B15*1.55*($Q$2/100+1)</f>
        <v>280.4107449</v>
      </c>
      <c r="C15" s="563">
        <f>'ЛП лоток перф (2)'!C15*1.55*($Q$2/100+1)</f>
        <v>335.04960328124997</v>
      </c>
      <c r="D15" s="563">
        <f>'ЛП лоток перф (2)'!D15*1.55*($Q$2/100+1)</f>
        <v>386.59569609374989</v>
      </c>
      <c r="E15" s="563">
        <f>'ЛП лоток перф (2)'!E15*1.63*($Q$2/100+1)</f>
        <v>487.85882681250001</v>
      </c>
      <c r="F15" s="563">
        <f>'ЛП лоток перф (2)'!F15*1.54*($Q$2/100+1)</f>
        <v>563.34891112499997</v>
      </c>
      <c r="G15" s="563">
        <f>'ЛП лоток перф (2)'!G15*1.54*($Q$2/100+1)</f>
        <v>716.98952324999993</v>
      </c>
      <c r="H15" s="563">
        <f>'ЛП лоток перф (2)'!H15*1.54*($Q$2/100+1)</f>
        <v>1002.9974319749999</v>
      </c>
      <c r="I15" s="569">
        <f>'ЛП лоток перф (2)'!I15*1.8*($Q$2/100+1)</f>
        <v>960.33824370000013</v>
      </c>
      <c r="J15" s="569">
        <f>'ЛП лоток перф (2)'!J15*1.8*($Q$2/100+1)</f>
        <v>1222.2486737999998</v>
      </c>
      <c r="K15" s="569">
        <f>'ЛП лоток перф (2)'!K15*1.8*($Q$2/100+1)</f>
        <v>1784.3799204000002</v>
      </c>
      <c r="L15" s="578">
        <f>'ЛП лоток перф (2)'!L15*1.8*($Q$2/100+1)</f>
        <v>1750.4899632000004</v>
      </c>
      <c r="M15" s="578">
        <f>'ЛП лоток перф (2)'!M15*1.8*($Q$2/100+1)</f>
        <v>2546.1672192000001</v>
      </c>
      <c r="N15" s="578">
        <f>'ЛП лоток перф (2)'!N15*1.8*($Q$2/100+1)</f>
        <v>3182.7090240000002</v>
      </c>
      <c r="O15" s="578">
        <f>'ЛП лоток перф (2)'!O15*1.8*($Q$2/100+1)</f>
        <v>3819.2508287999995</v>
      </c>
      <c r="P15" s="578">
        <f>'ЛП лоток перф (2)'!P15*1.8*($Q$2/100+1)</f>
        <v>4774.0635359999997</v>
      </c>
    </row>
    <row r="16" spans="1:25" ht="14.95" customHeight="1">
      <c r="A16" s="433" t="s">
        <v>3412</v>
      </c>
      <c r="B16" s="563">
        <f>'ЛП лоток перф (2)'!B16*1.55*($Q$2/100+1)</f>
        <v>315.90577589999998</v>
      </c>
      <c r="C16" s="563">
        <f>'ЛП лоток перф (2)'!C16*1.55*($Q$2/100+1)</f>
        <v>377.46094546874991</v>
      </c>
      <c r="D16" s="563">
        <f>'ЛП лоток перф (2)'!D16*1.55*($Q$2/100+1)</f>
        <v>435.53186015624999</v>
      </c>
      <c r="E16" s="563">
        <f>'ЛП лоток перф (2)'!E16*1.63*($Q$2/100+1)</f>
        <v>549.6131086874999</v>
      </c>
      <c r="F16" s="563">
        <f>'ЛП лоток перф (2)'!F16*1.54*($Q$2/100+1)</f>
        <v>634.65889987499997</v>
      </c>
      <c r="G16" s="563">
        <f>'ЛП лоток перф (2)'!G16*1.54*($Q$2/100+1)</f>
        <v>807.74769074999983</v>
      </c>
      <c r="H16" s="563">
        <f>'ЛП лоток перф (2)'!H16*1.54*($Q$2/100+1)</f>
        <v>1129.9591322249996</v>
      </c>
      <c r="I16" s="569">
        <f>'ЛП лоток перф (2)'!I16*1.8*($Q$2/100+1)</f>
        <v>1081.9000466999998</v>
      </c>
      <c r="J16" s="569">
        <f>'ЛП лоток перф (2)'!J16*1.8*($Q$2/100+1)</f>
        <v>1376.9636957999996</v>
      </c>
      <c r="K16" s="569">
        <f>'ЛП лоток перф (2)'!K16*1.8*($Q$2/100+1)</f>
        <v>1243.2037464</v>
      </c>
      <c r="L16" s="578">
        <f>'ЛП лоток перф (2)'!L16*1.8*($Q$2/100+1)</f>
        <v>1972.0709711999998</v>
      </c>
      <c r="M16" s="578">
        <f>'ЛП лоток перф (2)'!M16*1.8*($Q$2/100+1)</f>
        <v>2868.4668671999998</v>
      </c>
      <c r="N16" s="578">
        <f>'ЛП лоток перф (2)'!N16*1.8*($Q$2/100+1)</f>
        <v>3585.5835839999995</v>
      </c>
      <c r="O16" s="578">
        <f>'ЛП лоток перф (2)'!O16*1.8*($Q$2/100+1)</f>
        <v>4302.7003007999983</v>
      </c>
      <c r="P16" s="578">
        <f>'ЛП лоток перф (2)'!P16*1.8*($Q$2/100+1)</f>
        <v>5378.375376</v>
      </c>
    </row>
    <row r="17" spans="1:16" ht="14.95" customHeight="1">
      <c r="A17" s="433" t="s">
        <v>3408</v>
      </c>
      <c r="B17" s="563">
        <f>'ЛП лоток перф (2)'!B17*1.55*($Q$2/100+1)</f>
        <v>404.64335340000002</v>
      </c>
      <c r="C17" s="563">
        <f>'ЛП лоток перф (2)'!C17*1.55*($Q$2/100+1)</f>
        <v>483.48930093750005</v>
      </c>
      <c r="D17" s="563">
        <f>'ЛП лоток перф (2)'!D17*1.55*($Q$2/100+1)</f>
        <v>557.87227031249995</v>
      </c>
      <c r="E17" s="563">
        <f>'ЛП лоток перф (2)'!E17*1.63*($Q$2/100+1)</f>
        <v>703.99881337499994</v>
      </c>
      <c r="F17" s="563">
        <f>'ЛП лоток перф (2)'!F17*1.54*($Q$2/100+1)</f>
        <v>812.93387174999998</v>
      </c>
      <c r="G17" s="563">
        <f>'ЛП лоток перф (2)'!G17*1.54*($Q$2/100+1)</f>
        <v>1034.6431094999998</v>
      </c>
      <c r="H17" s="563">
        <f>'ЛП лоток перф (2)'!H17*1.54*($Q$2/100+1)</f>
        <v>1447.3633828499999</v>
      </c>
      <c r="I17" s="569">
        <f>'ЛП лоток перф (2)'!I17*1.8*($Q$2/100+1)</f>
        <v>1385.8045542</v>
      </c>
      <c r="J17" s="569">
        <f>'ЛП лоток перф (2)'!J17*1.8*($Q$2/100+1)</f>
        <v>1763.7512508000002</v>
      </c>
      <c r="K17" s="569">
        <f>'ЛП лоток перф (2)'!K17*1.8*($Q$2/100+1)</f>
        <v>2355.7716863999999</v>
      </c>
      <c r="L17" s="578">
        <f>'ЛП лоток перф (2)'!L17*1.8*($Q$2/100+1)</f>
        <v>2526.0234912000005</v>
      </c>
      <c r="M17" s="578">
        <f>'ЛП лоток перф (2)'!M17*1.8*($Q$2/100+1)</f>
        <v>3674.2159872000007</v>
      </c>
      <c r="N17" s="578">
        <f>'ЛП лоток перф (2)'!N17*1.8*($Q$2/100+1)</f>
        <v>4592.7699840000005</v>
      </c>
      <c r="O17" s="578">
        <f>'ЛП лоток перф (2)'!O17*1.8*($Q$2/100+1)</f>
        <v>5511.3239807999998</v>
      </c>
      <c r="P17" s="578">
        <f>'ЛП лоток перф (2)'!P17*1.8*($Q$2/100+1)</f>
        <v>6889.1549760000025</v>
      </c>
    </row>
    <row r="18" spans="1:16" ht="14.95" customHeight="1">
      <c r="A18" s="433" t="s">
        <v>3407</v>
      </c>
      <c r="B18" s="563">
        <f>'ЛП лоток перф (2)'!B18*1.55*($Q$2/100+1)</f>
        <v>244.91571390000007</v>
      </c>
      <c r="C18" s="563">
        <f>'ЛП лоток перф (2)'!C18*1.55*($Q$2/100+1)</f>
        <v>292.63826109375003</v>
      </c>
      <c r="D18" s="563">
        <f>'ЛП лоток перф (2)'!D18*1.55*($Q$2/100+1)</f>
        <v>337.65953203124997</v>
      </c>
      <c r="E18" s="563">
        <f>'ЛП лоток перф (2)'!E18*1.63*($Q$2/100+1)</f>
        <v>426.10454493749995</v>
      </c>
      <c r="F18" s="563">
        <f>'ЛП лоток перф (2)'!F18*1.54*($Q$2/100+1)</f>
        <v>492.03892237500003</v>
      </c>
      <c r="G18" s="563">
        <f>'ЛП лоток перф (2)'!G18*1.54*($Q$2/100+1)</f>
        <v>626.23135574999992</v>
      </c>
      <c r="H18" s="563">
        <f>'ЛП лоток перф (2)'!H18*1.54*($Q$2/100+1)</f>
        <v>876.03573172500001</v>
      </c>
      <c r="I18" s="569">
        <f>'ЛП лоток перф (2)'!I18*1.8*($Q$2/100+1)</f>
        <v>838.77644070000008</v>
      </c>
      <c r="J18" s="569">
        <f>'ЛП лоток перф (2)'!J18*1.8*($Q$2/100+1)</f>
        <v>1067.5336517999999</v>
      </c>
      <c r="K18" s="569">
        <f>'ЛП лоток перф (2)'!K18*1.8*($Q$2/100+1)</f>
        <v>1952.9903844</v>
      </c>
      <c r="L18" s="578">
        <f>'ЛП лоток перф (2)'!L18*1.8*($Q$2/100+1)</f>
        <v>1528.9089552000005</v>
      </c>
      <c r="M18" s="578">
        <f>'ЛП лоток перф (2)'!M18*1.8*($Q$2/100+1)</f>
        <v>2223.8675712000008</v>
      </c>
      <c r="N18" s="578">
        <f>'ЛП лоток перф (2)'!N18*1.8*($Q$2/100+1)</f>
        <v>2779.834464</v>
      </c>
      <c r="O18" s="578">
        <f>'ЛП лоток перф (2)'!O18*1.8*($Q$2/100+1)</f>
        <v>3335.8013568000006</v>
      </c>
      <c r="P18" s="578">
        <f>'ЛП лоток перф (2)'!P18*1.8*($Q$2/100+1)</f>
        <v>4169.7516960000003</v>
      </c>
    </row>
    <row r="19" spans="1:16" ht="16.3">
      <c r="A19" s="433" t="s">
        <v>3406</v>
      </c>
      <c r="B19" s="563">
        <f>'ЛП лоток перф (2)'!B19*1.55*($Q$2/100+1)</f>
        <v>271.53698714999996</v>
      </c>
      <c r="C19" s="563">
        <f>'ЛП лоток перф (2)'!C19*1.55*($Q$2/100+1)</f>
        <v>324.44676773437499</v>
      </c>
      <c r="D19" s="563">
        <f>'ЛП лоток перф (2)'!D19*1.55*($Q$2/100+1)</f>
        <v>374.36165507812501</v>
      </c>
      <c r="E19" s="563">
        <f>'ЛП лоток перф (2)'!E19*1.63*($Q$2/100+1)</f>
        <v>472.42025634374994</v>
      </c>
      <c r="F19" s="563">
        <f>'ЛП лоток перф (2)'!F19*1.54*($Q$2/100+1)</f>
        <v>545.52141393750003</v>
      </c>
      <c r="G19" s="563">
        <f>'ЛП лоток перф (2)'!G19*1.54*($Q$2/100+1)</f>
        <v>694.2999813749999</v>
      </c>
      <c r="H19" s="563">
        <f>'ЛП лоток перф (2)'!H19*1.54*($Q$2/100+1)</f>
        <v>971.25700691249995</v>
      </c>
      <c r="I19" s="569">
        <f>'ЛП лоток перф (2)'!I19*1.8*($Q$2/100+1)</f>
        <v>929.94779295000001</v>
      </c>
      <c r="J19" s="569">
        <f>'ЛП лоток перф (2)'!J19*1.8*($Q$2/100+1)</f>
        <v>1183.5699182999997</v>
      </c>
      <c r="K19" s="569">
        <f>'ЛП лоток перф (2)'!K19*1.8*($Q$2/100+1)</f>
        <v>1662.1653114000001</v>
      </c>
      <c r="L19" s="578">
        <f>'ЛП лоток перф (2)'!L19*1.8*($Q$2/100+1)</f>
        <v>1695.0947111999999</v>
      </c>
      <c r="M19" s="578">
        <f>'ЛП лоток перф (2)'!M19*1.8*($Q$2/100+1)</f>
        <v>2465.5923072000001</v>
      </c>
      <c r="N19" s="578">
        <f>'ЛП лоток перф (2)'!N19*1.8*($Q$2/100+1)</f>
        <v>3081.9903840000002</v>
      </c>
      <c r="O19" s="578">
        <f>'ЛП лоток перф (2)'!O19*1.8*($Q$2/100+1)</f>
        <v>3698.3884607999998</v>
      </c>
      <c r="P19" s="578">
        <f>'ЛП лоток перф (2)'!P19*1.8*($Q$2/100+1)</f>
        <v>4622.985576</v>
      </c>
    </row>
    <row r="20" spans="1:16" ht="16.3">
      <c r="A20" s="433" t="s">
        <v>3405</v>
      </c>
      <c r="B20" s="563">
        <f>'ЛП лоток перф (2)'!B20*1.55*($Q$2/100+1)</f>
        <v>289.28450265000004</v>
      </c>
      <c r="C20" s="563">
        <f>'ЛП лоток перф (2)'!C20*1.55*($Q$2/100+1)</f>
        <v>345.65243882812507</v>
      </c>
      <c r="D20" s="563">
        <f>'ЛП лоток перф (2)'!D20*1.55*($Q$2/100+1)</f>
        <v>398.829737109375</v>
      </c>
      <c r="E20" s="563">
        <f>'ЛП лоток перф (2)'!E20*1.63*($Q$2/100+1)</f>
        <v>503.29739728124997</v>
      </c>
      <c r="F20" s="563">
        <f>'ЛП лоток перф (2)'!F20*1.54*($Q$2/100+1)</f>
        <v>581.17640831250003</v>
      </c>
      <c r="G20" s="563">
        <f>'ЛП лоток перф (2)'!G20*1.54*($Q$2/100+1)</f>
        <v>739.67906512499997</v>
      </c>
      <c r="H20" s="563">
        <f>'ЛП лоток перф (2)'!H20*1.54*($Q$2/100+1)</f>
        <v>1034.7378570374999</v>
      </c>
      <c r="I20" s="569">
        <f>'ЛП лоток перф (2)'!I20*1.8*($Q$2/100+1)</f>
        <v>990.72869444999981</v>
      </c>
      <c r="J20" s="569">
        <f>'ЛП лоток перф (2)'!J20*1.8*($Q$2/100+1)</f>
        <v>1260.9274292999999</v>
      </c>
      <c r="K20" s="569">
        <f>'ЛП лоток перф (2)'!K20*1.8*($Q$2/100+1)</f>
        <v>1797.0163794</v>
      </c>
      <c r="L20" s="578">
        <f>'ЛП лоток перф (2)'!L20*1.8*($Q$2/100+1)</f>
        <v>1805.8852151999997</v>
      </c>
      <c r="M20" s="578">
        <f>'ЛП лоток перф (2)'!M20*1.8*($Q$2/100+1)</f>
        <v>2626.7421312000001</v>
      </c>
      <c r="N20" s="578">
        <f>'ЛП лоток перф (2)'!N20*1.8*($Q$2/100+1)</f>
        <v>3283.4276639999998</v>
      </c>
      <c r="O20" s="578">
        <f>'ЛП лоток перф (2)'!O20*1.8*($Q$2/100+1)</f>
        <v>3940.1131968</v>
      </c>
      <c r="P20" s="578">
        <f>'ЛП лоток перф (2)'!P20*1.8*($Q$2/100+1)</f>
        <v>4925.1414959999993</v>
      </c>
    </row>
    <row r="21" spans="1:16" ht="16.3">
      <c r="A21" s="433" t="s">
        <v>3404</v>
      </c>
      <c r="B21" s="563">
        <f>'ЛП лоток перф (2)'!B21*1.55*($Q$2/100+1)</f>
        <v>298.15826039999996</v>
      </c>
      <c r="C21" s="563">
        <f>'ЛП лоток перф (2)'!C21*1.55*($Q$2/100+1)</f>
        <v>356.25527437499994</v>
      </c>
      <c r="D21" s="563">
        <f>'ЛП лоток перф (2)'!D21*1.55*($Q$2/100+1)</f>
        <v>411.06377812499994</v>
      </c>
      <c r="E21" s="563">
        <f>'ЛП лоток перф (2)'!E21*1.63*($Q$2/100+1)</f>
        <v>518.73596774999987</v>
      </c>
      <c r="F21" s="563">
        <f>'ЛП лоток перф (2)'!F21*1.54*($Q$2/100+1)</f>
        <v>599.00390550000009</v>
      </c>
      <c r="G21" s="563">
        <f>'ЛП лоток перф (2)'!G21*1.54*($Q$2/100+1)</f>
        <v>762.36860699999977</v>
      </c>
      <c r="H21" s="563">
        <f>'ЛП лоток перф (2)'!H21*1.54*($Q$2/100+1)</f>
        <v>1066.4782820999999</v>
      </c>
      <c r="I21" s="569">
        <f>'ЛП лоток перф (2)'!I21*1.8*($Q$2/100+1)</f>
        <v>1021.1191451999999</v>
      </c>
      <c r="J21" s="569">
        <f>'ЛП лоток перф (2)'!J21*1.8*($Q$2/100+1)</f>
        <v>1299.6061847999997</v>
      </c>
      <c r="K21" s="569">
        <f>'ЛП лоток перф (2)'!K21*1.8*($Q$2/100+1)</f>
        <v>1875.3997284</v>
      </c>
      <c r="L21" s="578">
        <f>'ЛП лоток перф (2)'!L21*1.8*($Q$2/100+1)</f>
        <v>1861.2804672000004</v>
      </c>
      <c r="M21" s="578">
        <f>'ЛП лоток перф (2)'!M21*1.8*($Q$2/100+1)</f>
        <v>2707.3170432000002</v>
      </c>
      <c r="N21" s="578">
        <f>'ЛП лоток перф (2)'!N21*1.8*($Q$2/100+1)</f>
        <v>3384.1463039999994</v>
      </c>
      <c r="O21" s="578">
        <f>'ЛП лоток перф (2)'!O21*1.8*($Q$2/100+1)</f>
        <v>4060.9755648</v>
      </c>
      <c r="P21" s="578">
        <f>'ЛП лоток перф (2)'!P21*1.8*($Q$2/100+1)</f>
        <v>5076.2194559999998</v>
      </c>
    </row>
    <row r="22" spans="1:16" ht="16.3">
      <c r="A22" s="433" t="s">
        <v>3403</v>
      </c>
      <c r="B22" s="563">
        <f>'ЛП лоток перф (2)'!B22*1.55*($Q$2/100+1)</f>
        <v>324.77953365000002</v>
      </c>
      <c r="C22" s="563">
        <f>'ЛП лоток перф (2)'!C22*1.55*($Q$2/100+1)</f>
        <v>388.06378101562507</v>
      </c>
      <c r="D22" s="563">
        <f>'ЛП лоток перф (2)'!D22*1.55*($Q$2/100+1)</f>
        <v>447.76590117187493</v>
      </c>
      <c r="E22" s="563">
        <f>'ЛП лоток перф (2)'!E22*1.63*($Q$2/100+1)</f>
        <v>565.05167915624997</v>
      </c>
      <c r="F22" s="563">
        <f>'ЛП лоток перф (2)'!F22*1.54*($Q$2/100+1)</f>
        <v>652.48639706250003</v>
      </c>
      <c r="G22" s="563">
        <f>'ЛП лоток перф (2)'!G22*1.54*($Q$2/100+1)</f>
        <v>830.43723262499987</v>
      </c>
      <c r="H22" s="563">
        <f>'ЛП лоток перф (2)'!H22*1.54*($Q$2/100+1)</f>
        <v>1161.6995572875001</v>
      </c>
      <c r="I22" s="569">
        <f>'ЛП лоток перф (2)'!I22*1.8*($Q$2/100+1)</f>
        <v>1112.2904974500002</v>
      </c>
      <c r="J22" s="569">
        <f>'ЛП лоток перф (2)'!J22*1.8*($Q$2/100+1)</f>
        <v>1415.6424512999999</v>
      </c>
      <c r="K22" s="569">
        <f>'ЛП лоток перф (2)'!K22*1.8*($Q$2/100+1)</f>
        <v>2000.9716254</v>
      </c>
      <c r="L22" s="578">
        <f>'ЛП лоток перф (2)'!L22*1.8*($Q$2/100+1)</f>
        <v>2027.4662232000001</v>
      </c>
      <c r="M22" s="578">
        <f>'ЛП лоток перф (2)'!M22*1.8*($Q$2/100+1)</f>
        <v>2949.0417791999998</v>
      </c>
      <c r="N22" s="578">
        <f>'ЛП лоток перф (2)'!N22*1.8*($Q$2/100+1)</f>
        <v>3686.302224</v>
      </c>
      <c r="O22" s="578">
        <f>'ЛП лоток перф (2)'!O22*1.8*($Q$2/100+1)</f>
        <v>4423.5626688000002</v>
      </c>
      <c r="P22" s="578">
        <f>'ЛП лоток перф (2)'!P22*1.8*($Q$2/100+1)</f>
        <v>5529.4533359999996</v>
      </c>
    </row>
    <row r="23" spans="1:16" ht="16.3">
      <c r="A23" s="433" t="s">
        <v>3402</v>
      </c>
      <c r="B23" s="563">
        <f>'ЛП лоток перф (2)'!B23*1.55*($Q$2/100+1)</f>
        <v>360.27456465</v>
      </c>
      <c r="C23" s="563">
        <f>'ЛП лоток перф (2)'!C23*1.55*($Q$2/100+1)</f>
        <v>430.47512320312495</v>
      </c>
      <c r="D23" s="563">
        <f>'ЛП лоток перф (2)'!D23*1.55*($Q$2/100+1)</f>
        <v>496.70206523437503</v>
      </c>
      <c r="E23" s="563">
        <f>'ЛП лоток перф (2)'!E23*1.63*($Q$2/100+1)</f>
        <v>626.80596103124992</v>
      </c>
      <c r="F23" s="563">
        <f>'ЛП лоток перф (2)'!F23*1.54*($Q$2/100+1)</f>
        <v>723.79638581250003</v>
      </c>
      <c r="G23" s="563">
        <f>'ЛП лоток перф (2)'!G23*1.54*($Q$2/100+1)</f>
        <v>921.19540012499988</v>
      </c>
      <c r="H23" s="563">
        <f>'ЛП лоток перф (2)'!H23*1.54*($Q$2/100+1)</f>
        <v>1288.6612575375</v>
      </c>
      <c r="I23" s="569">
        <f>'ЛП лоток перф (2)'!I23*1.8*($Q$2/100+1)</f>
        <v>1233.85230045</v>
      </c>
      <c r="J23" s="569">
        <f>'ЛП лоток перф (2)'!J23*1.8*($Q$2/100+1)</f>
        <v>1570.3574732999998</v>
      </c>
      <c r="K23" s="569">
        <f>'ЛП лоток перф (2)'!K23*1.8*($Q$2/100+1)</f>
        <v>2204.9268714000004</v>
      </c>
      <c r="L23" s="578">
        <f>'ЛП лоток перф (2)'!L23*1.8*($Q$2/100+1)</f>
        <v>2249.0472312000002</v>
      </c>
      <c r="M23" s="578">
        <f>'ЛП лоток перф (2)'!M23*1.8*($Q$2/100+1)</f>
        <v>3271.3414272000005</v>
      </c>
      <c r="N23" s="578">
        <f>'ЛП лоток перф (2)'!N23*1.8*($Q$2/100+1)</f>
        <v>4089.1767840000002</v>
      </c>
      <c r="O23" s="578">
        <f>'ЛП лоток перф (2)'!O23*1.8*($Q$2/100+1)</f>
        <v>4907.0121407999995</v>
      </c>
      <c r="P23" s="578">
        <f>'ЛП лоток перф (2)'!P23*1.8*($Q$2/100+1)</f>
        <v>6133.7651759999999</v>
      </c>
    </row>
    <row r="24" spans="1:16" ht="16.3">
      <c r="A24" s="433" t="s">
        <v>3401</v>
      </c>
      <c r="B24" s="557" t="s">
        <v>770</v>
      </c>
      <c r="C24" s="563">
        <f>'ЛП лоток перф (2)'!C24*1.55*($Q$2/100+1)</f>
        <v>536.50347867187497</v>
      </c>
      <c r="D24" s="563">
        <f>'ЛП лоток перф (2)'!D24*1.55*($Q$2/100+1)</f>
        <v>619.04247539062499</v>
      </c>
      <c r="E24" s="563">
        <f>'ЛП лоток перф (2)'!E24*1.63*($Q$2/100+1)</f>
        <v>781.19166571874996</v>
      </c>
      <c r="F24" s="563">
        <f>'ЛП лоток перф (2)'!F24*1.54*($Q$2/100+1)</f>
        <v>902.07135768750004</v>
      </c>
      <c r="G24" s="563">
        <f>'ЛП лоток перф (2)'!G24*1.54*($Q$2/100+1)</f>
        <v>1148.0908188749997</v>
      </c>
      <c r="H24" s="563">
        <f>'ЛП лоток перф (2)'!H24*1.54*($Q$2/100+1)</f>
        <v>1606.0655081625</v>
      </c>
      <c r="I24" s="569">
        <f>'ЛП лоток перф (2)'!I24*1.8*($Q$2/100+1)</f>
        <v>1537.7568079500004</v>
      </c>
      <c r="J24" s="569">
        <f>'ЛП лоток перф (2)'!J24*1.8*($Q$2/100+1)</f>
        <v>1957.1450282999999</v>
      </c>
      <c r="K24" s="569">
        <f>'ЛП лоток перф (2)'!K24*1.8*($Q$2/100+1)</f>
        <v>2638.1102814000001</v>
      </c>
      <c r="L24" s="579" t="s">
        <v>770</v>
      </c>
      <c r="M24" s="578">
        <f>'ЛП лоток перф (2)'!M24*1.8*($Q$2/100+1)</f>
        <v>4077.0905471999999</v>
      </c>
      <c r="N24" s="578">
        <f>'ЛП лоток перф (2)'!N24*1.8*($Q$2/100+1)</f>
        <v>5096.3631839999998</v>
      </c>
      <c r="O24" s="578">
        <f>'ЛП лоток перф (2)'!O24*1.8*($Q$2/100+1)</f>
        <v>6115.6358208000001</v>
      </c>
      <c r="P24" s="578">
        <f>'ЛП лоток перф (2)'!P24*1.8*($Q$2/100+1)</f>
        <v>7644.5447759999988</v>
      </c>
    </row>
    <row r="25" spans="1:16" ht="16.3">
      <c r="A25" s="433" t="s">
        <v>3400</v>
      </c>
      <c r="B25" s="557" t="s">
        <v>770</v>
      </c>
      <c r="C25" s="563">
        <f>'ЛП лоток перф (2)'!C25*1.55*($Q$2/100+1)</f>
        <v>642.53183414062494</v>
      </c>
      <c r="D25" s="563">
        <f>'ЛП лоток перф (2)'!D25*1.55*($Q$2/100+1)</f>
        <v>741.38288554687495</v>
      </c>
      <c r="E25" s="563">
        <f>'ЛП лоток перф (2)'!E25*1.63*($Q$2/100+1)</f>
        <v>935.57737040625</v>
      </c>
      <c r="F25" s="563">
        <f>'ЛП лоток перф (2)'!F25*1.54*($Q$2/100+1)</f>
        <v>1080.3463295624999</v>
      </c>
      <c r="G25" s="563">
        <f>'ЛП лоток перф (2)'!G25*1.54*($Q$2/100+1)</f>
        <v>1374.9862376249998</v>
      </c>
      <c r="H25" s="563">
        <f>'ЛП лоток перф (2)'!H25*1.54*($Q$2/100+1)</f>
        <v>1923.4697587874996</v>
      </c>
      <c r="I25" s="569">
        <f>'ЛП лоток перф (2)'!I25*1.8*($Q$2/100+1)</f>
        <v>1841.6613154499998</v>
      </c>
      <c r="J25" s="569">
        <f>'ЛП лоток перф (2)'!J25*1.8*($Q$2/100+1)</f>
        <v>2343.9325832999994</v>
      </c>
      <c r="K25" s="569">
        <f>'ЛП лоток перф (2)'!K25*1.8*($Q$2/100+1)</f>
        <v>3202.7874714</v>
      </c>
      <c r="L25" s="579" t="s">
        <v>770</v>
      </c>
      <c r="M25" s="578">
        <f>'ЛП лоток перф (2)'!M25*1.8*($Q$2/100+1)</f>
        <v>4882.8396671999999</v>
      </c>
      <c r="N25" s="578">
        <f>'ЛП лоток перф (2)'!N25*1.8*($Q$2/100+1)</f>
        <v>6103.5495840000003</v>
      </c>
      <c r="O25" s="578">
        <f>'ЛП лоток перф (2)'!O25*1.8*($Q$2/100+1)</f>
        <v>7324.2595007999989</v>
      </c>
      <c r="P25" s="578">
        <f>'ЛП лоток перф (2)'!P25*1.8*($Q$2/100+1)</f>
        <v>9155.3243759999987</v>
      </c>
    </row>
    <row r="26" spans="1:16" ht="16.3">
      <c r="A26" s="433" t="s">
        <v>3399</v>
      </c>
      <c r="B26" s="557" t="s">
        <v>770</v>
      </c>
      <c r="C26" s="563">
        <f>'ЛП лоток перф (2)'!C26*1.55*($Q$2/100+1)</f>
        <v>377.46094546874991</v>
      </c>
      <c r="D26" s="563">
        <f>'ЛП лоток перф (2)'!D26*1.55*($Q$2/100+1)</f>
        <v>435.53186015624999</v>
      </c>
      <c r="E26" s="563">
        <f>'ЛП лоток перф (2)'!E26*1.63*($Q$2/100+1)</f>
        <v>549.6131086874999</v>
      </c>
      <c r="F26" s="563">
        <f>'ЛП лоток перф (2)'!F26*1.54*($Q$2/100+1)</f>
        <v>634.65889987499997</v>
      </c>
      <c r="G26" s="563">
        <f>'ЛП лоток перф (2)'!G26*1.54*($Q$2/100+1)</f>
        <v>807.74769074999983</v>
      </c>
      <c r="H26" s="563">
        <f>'ЛП лоток перф (2)'!H26*1.54*($Q$2/100+1)</f>
        <v>1129.9591322249996</v>
      </c>
      <c r="I26" s="569">
        <f>'ЛП лоток перф (2)'!I26*1.8*($Q$2/100+1)</f>
        <v>1081.9000466999998</v>
      </c>
      <c r="J26" s="569">
        <f>'ЛП лоток перф (2)'!J26*1.8*($Q$2/100+1)</f>
        <v>1376.9636957999996</v>
      </c>
      <c r="K26" s="569">
        <f>'ЛП лоток перф (2)'!K26*1.8*($Q$2/100+1)</f>
        <v>2558.1415463999997</v>
      </c>
      <c r="L26" s="579" t="s">
        <v>770</v>
      </c>
      <c r="M26" s="578">
        <f>'ЛП лоток перф (2)'!M26*1.8*($Q$2/100+1)</f>
        <v>2868.4668671999998</v>
      </c>
      <c r="N26" s="578">
        <f>'ЛП лоток перф (2)'!N26*1.8*($Q$2/100+1)</f>
        <v>3585.5835839999995</v>
      </c>
      <c r="O26" s="578">
        <f>'ЛП лоток перф (2)'!O26*1.8*($Q$2/100+1)</f>
        <v>4302.7003007999983</v>
      </c>
      <c r="P26" s="578">
        <f>'ЛП лоток перф (2)'!P26*1.8*($Q$2/100+1)</f>
        <v>5378.375376</v>
      </c>
    </row>
    <row r="27" spans="1:16" ht="16.3">
      <c r="A27" s="433" t="s">
        <v>3398</v>
      </c>
      <c r="B27" s="557" t="s">
        <v>770</v>
      </c>
      <c r="C27" s="563">
        <f>'ЛП лоток перф (2)'!C27*1.55*($Q$2/100+1)</f>
        <v>441.07795874999999</v>
      </c>
      <c r="D27" s="563">
        <f>'ЛП лоток перф (2)'!D27*1.55*($Q$2/100+1)</f>
        <v>508.93610624999997</v>
      </c>
      <c r="E27" s="563">
        <f>'ЛП лоток перф (2)'!E27*1.63*($Q$2/100+1)</f>
        <v>642.24453149999988</v>
      </c>
      <c r="F27" s="563">
        <f>'ЛП лоток перф (2)'!F27*1.54*($Q$2/100+1)</f>
        <v>741.62388299999998</v>
      </c>
      <c r="G27" s="563">
        <f>'ЛП лоток перф (2)'!G27*1.54*($Q$2/100+1)</f>
        <v>943.88494199999968</v>
      </c>
      <c r="H27" s="563">
        <f>'ЛП лоток перф (2)'!H27*1.54*($Q$2/100+1)</f>
        <v>1320.4016825999997</v>
      </c>
      <c r="I27" s="569">
        <f>'ЛП лоток перф (2)'!I27*1.8*($Q$2/100+1)</f>
        <v>1264.2427511999997</v>
      </c>
      <c r="J27" s="569">
        <f>'ЛП лоток перф (2)'!J27*1.8*($Q$2/100+1)</f>
        <v>1609.0362287999994</v>
      </c>
      <c r="K27" s="569">
        <f>'ЛП лоток перф (2)'!K27*1.8*($Q$2/100+1)</f>
        <v>2217.5633303999998</v>
      </c>
      <c r="L27" s="579" t="s">
        <v>770</v>
      </c>
      <c r="M27" s="578">
        <f>'ЛП лоток перф (2)'!M27*1.8*($Q$2/100+1)</f>
        <v>3351.9163391999996</v>
      </c>
      <c r="N27" s="578">
        <f>'ЛП лоток перф (2)'!N27*1.8*($Q$2/100+1)</f>
        <v>4189.8954239999994</v>
      </c>
      <c r="O27" s="578">
        <f>'ЛП лоток перф (2)'!O27*1.8*($Q$2/100+1)</f>
        <v>5027.8745087999987</v>
      </c>
      <c r="P27" s="578">
        <f>'ЛП лоток перф (2)'!P27*1.8*($Q$2/100+1)</f>
        <v>6284.8431359999995</v>
      </c>
    </row>
    <row r="28" spans="1:16" ht="16.3">
      <c r="A28" s="433" t="s">
        <v>3397</v>
      </c>
      <c r="B28" s="557" t="s">
        <v>770</v>
      </c>
      <c r="C28" s="563">
        <f>'ЛП лоток перф (2)'!C28*1.55*($Q$2/100+1)</f>
        <v>483.48930093750005</v>
      </c>
      <c r="D28" s="563">
        <f>'ЛП лоток перф (2)'!D28*1.55*($Q$2/100+1)</f>
        <v>557.87227031249995</v>
      </c>
      <c r="E28" s="563">
        <f>'ЛП лоток перф (2)'!E28*1.63*($Q$2/100+1)</f>
        <v>703.99881337499994</v>
      </c>
      <c r="F28" s="563">
        <f>'ЛП лоток перф (2)'!F28*1.54*($Q$2/100+1)</f>
        <v>812.93387174999998</v>
      </c>
      <c r="G28" s="563">
        <f>'ЛП лоток перф (2)'!G28*1.54*($Q$2/100+1)</f>
        <v>1034.6431094999998</v>
      </c>
      <c r="H28" s="563">
        <f>'ЛП лоток перф (2)'!H28*1.54*($Q$2/100+1)</f>
        <v>1447.3633828499999</v>
      </c>
      <c r="I28" s="569">
        <f>'ЛП лоток перф (2)'!I28*1.8*($Q$2/100+1)</f>
        <v>1385.8045542</v>
      </c>
      <c r="J28" s="569">
        <f>'ЛП лоток перф (2)'!J28*1.8*($Q$2/100+1)</f>
        <v>1763.7512508000002</v>
      </c>
      <c r="K28" s="569">
        <f>'ЛП лоток перф (2)'!K28*1.8*($Q$2/100+1)</f>
        <v>2487.2654664000002</v>
      </c>
      <c r="L28" s="579" t="s">
        <v>770</v>
      </c>
      <c r="M28" s="578">
        <f>'ЛП лоток перф (2)'!M28*1.8*($Q$2/100+1)</f>
        <v>3674.2159872000007</v>
      </c>
      <c r="N28" s="578">
        <f>'ЛП лоток перф (2)'!N28*1.8*($Q$2/100+1)</f>
        <v>4592.7699840000005</v>
      </c>
      <c r="O28" s="578">
        <f>'ЛП лоток перф (2)'!O28*1.8*($Q$2/100+1)</f>
        <v>5511.3239807999998</v>
      </c>
      <c r="P28" s="578">
        <f>'ЛП лоток перф (2)'!P28*1.8*($Q$2/100+1)</f>
        <v>6889.1549760000025</v>
      </c>
    </row>
    <row r="29" spans="1:16" ht="16.3">
      <c r="A29" s="433" t="s">
        <v>3396</v>
      </c>
      <c r="B29" s="557" t="s">
        <v>770</v>
      </c>
      <c r="C29" s="563">
        <f>'ЛП лоток перф (2)'!C29*1.55*($Q$2/100+1)</f>
        <v>430.47512320312495</v>
      </c>
      <c r="D29" s="563">
        <f>'ЛП лоток перф (2)'!D29*1.55*($Q$2/100+1)</f>
        <v>496.70206523437503</v>
      </c>
      <c r="E29" s="563">
        <f>'ЛП лоток перф (2)'!E29*1.63*($Q$2/100+1)</f>
        <v>626.80596103124992</v>
      </c>
      <c r="F29" s="563">
        <f>'ЛП лоток перф (2)'!F29*1.54*($Q$2/100+1)</f>
        <v>723.79638581250003</v>
      </c>
      <c r="G29" s="563">
        <f>'ЛП лоток перф (2)'!G29*1.54*($Q$2/100+1)</f>
        <v>921.19540012499988</v>
      </c>
      <c r="H29" s="563">
        <f>'ЛП лоток перф (2)'!H29*1.54*($Q$2/100+1)</f>
        <v>1288.6612575375</v>
      </c>
      <c r="I29" s="569">
        <f>'ЛП лоток перф (2)'!I29*1.8*($Q$2/100+1)</f>
        <v>1233.85230045</v>
      </c>
      <c r="J29" s="569">
        <f>'ЛП лоток перф (2)'!J29*1.8*($Q$2/100+1)</f>
        <v>1570.3574732999998</v>
      </c>
      <c r="K29" s="569">
        <f>'ЛП лоток перф (2)'!K29*1.8*($Q$2/100+1)</f>
        <v>2402.1675414000001</v>
      </c>
      <c r="L29" s="579" t="s">
        <v>770</v>
      </c>
      <c r="M29" s="578">
        <f>'ЛП лоток перф (2)'!M29*1.8*($Q$2/100+1)</f>
        <v>3271.3414272000005</v>
      </c>
      <c r="N29" s="578">
        <f>'ЛП лоток перф (2)'!N29*1.8*($Q$2/100+1)</f>
        <v>4089.1767840000002</v>
      </c>
      <c r="O29" s="578">
        <f>'ЛП лоток перф (2)'!O29*1.8*($Q$2/100+1)</f>
        <v>4907.0121407999995</v>
      </c>
      <c r="P29" s="578">
        <f>'ЛП лоток перф (2)'!P29*1.8*($Q$2/100+1)</f>
        <v>6133.7651759999999</v>
      </c>
    </row>
    <row r="30" spans="1:16" ht="16.3">
      <c r="A30" s="433" t="s">
        <v>3395</v>
      </c>
      <c r="B30" s="557" t="s">
        <v>770</v>
      </c>
      <c r="C30" s="563">
        <f>'ЛП лоток перф (2)'!C30*1.55*($Q$2/100+1)</f>
        <v>451.68079429687498</v>
      </c>
      <c r="D30" s="563">
        <f>'ЛП лоток перф (2)'!D30*1.55*($Q$2/100+1)</f>
        <v>521.17014726562502</v>
      </c>
      <c r="E30" s="563">
        <f>'ЛП лоток перф (2)'!E30*1.63*($Q$2/100+1)</f>
        <v>657.68310196874984</v>
      </c>
      <c r="F30" s="563">
        <f>'ЛП лоток перф (2)'!F30*1.54*($Q$2/100+1)</f>
        <v>759.45138018749992</v>
      </c>
      <c r="G30" s="563">
        <f>'ЛП лоток перф (2)'!G30*1.54*($Q$2/100+1)</f>
        <v>966.57448387499971</v>
      </c>
      <c r="H30" s="563">
        <f>'ЛП лоток перф (2)'!H30*1.54*($Q$2/100+1)</f>
        <v>1352.1421076624999</v>
      </c>
      <c r="I30" s="569">
        <f>'ЛП лоток перф (2)'!I30*1.8*($Q$2/100+1)</f>
        <v>1294.6332019499998</v>
      </c>
      <c r="J30" s="569">
        <f>'ЛП лоток перф (2)'!J30*1.8*($Q$2/100+1)</f>
        <v>1647.7149842999997</v>
      </c>
      <c r="K30" s="569">
        <f>'ЛП лоток перф (2)'!K30*1.8*($Q$2/100+1)</f>
        <v>2361.6935693999999</v>
      </c>
      <c r="L30" s="579" t="s">
        <v>770</v>
      </c>
      <c r="M30" s="578">
        <f>'ЛП лоток перф (2)'!M30*1.8*($Q$2/100+1)</f>
        <v>3432.4912511999996</v>
      </c>
      <c r="N30" s="578">
        <f>'ЛП лоток перф (2)'!N30*1.8*($Q$2/100+1)</f>
        <v>4290.6140639999994</v>
      </c>
      <c r="O30" s="578">
        <f>'ЛП лоток перф (2)'!O30*1.8*($Q$2/100+1)</f>
        <v>5148.7368767999997</v>
      </c>
      <c r="P30" s="578">
        <f>'ЛП лоток перф (2)'!P30*1.8*($Q$2/100+1)</f>
        <v>6435.9210959999991</v>
      </c>
    </row>
    <row r="31" spans="1:16" ht="16.3">
      <c r="A31" s="433" t="s">
        <v>3394</v>
      </c>
      <c r="B31" s="557" t="s">
        <v>770</v>
      </c>
      <c r="C31" s="563">
        <f>'ЛП лоток перф (2)'!C31*1.55*($Q$2/100+1)</f>
        <v>462.28362984374991</v>
      </c>
      <c r="D31" s="563">
        <f>'ЛП лоток перф (2)'!D31*1.55*($Q$2/100+1)</f>
        <v>533.40418828124996</v>
      </c>
      <c r="E31" s="563">
        <f>'ЛП лоток перф (2)'!E31*1.63*($Q$2/100+1)</f>
        <v>673.12167243749991</v>
      </c>
      <c r="F31" s="563">
        <f>'ЛП лоток перф (2)'!F31*1.54*($Q$2/100+1)</f>
        <v>777.27887737499998</v>
      </c>
      <c r="G31" s="563">
        <f>'ЛП лоток перф (2)'!G31*1.54*($Q$2/100+1)</f>
        <v>989.26402574999986</v>
      </c>
      <c r="H31" s="563">
        <f>'ЛП лоток перф (2)'!H31*1.54*($Q$2/100+1)</f>
        <v>1383.8825327249997</v>
      </c>
      <c r="I31" s="569">
        <f>'ЛП лоток перф (2)'!I31*1.8*($Q$2/100+1)</f>
        <v>1325.0236527000002</v>
      </c>
      <c r="J31" s="569">
        <f>'ЛП лоток перф (2)'!J31*1.8*($Q$2/100+1)</f>
        <v>1686.3937397999996</v>
      </c>
      <c r="K31" s="569">
        <f>'ЛП лоток перф (2)'!K31*1.8*($Q$2/100+1)</f>
        <v>2440.0769184000001</v>
      </c>
      <c r="L31" s="579" t="s">
        <v>770</v>
      </c>
      <c r="M31" s="578">
        <f>'ЛП лоток перф (2)'!M31*1.8*($Q$2/100+1)</f>
        <v>3513.0661632000001</v>
      </c>
      <c r="N31" s="578">
        <f>'ЛП лоток перф (2)'!N31*1.8*($Q$2/100+1)</f>
        <v>4391.3327039999995</v>
      </c>
      <c r="O31" s="578">
        <f>'ЛП лоток перф (2)'!O31*1.8*($Q$2/100+1)</f>
        <v>5269.5992447999988</v>
      </c>
      <c r="P31" s="578">
        <f>'ЛП лоток перф (2)'!P31*1.8*($Q$2/100+1)</f>
        <v>6586.9990559999987</v>
      </c>
    </row>
    <row r="32" spans="1:16" ht="16.3">
      <c r="A32" s="433" t="s">
        <v>3393</v>
      </c>
      <c r="B32" s="557" t="s">
        <v>770</v>
      </c>
      <c r="C32" s="563">
        <f>'ЛП лоток перф (2)'!C32*1.55*($Q$2/100+1)</f>
        <v>494.09213648437503</v>
      </c>
      <c r="D32" s="563">
        <f>'ЛП лоток перф (2)'!D32*1.55*($Q$2/100+1)</f>
        <v>570.106311328125</v>
      </c>
      <c r="E32" s="563">
        <f>'ЛП лоток перф (2)'!E32*1.63*($Q$2/100+1)</f>
        <v>719.43738384375001</v>
      </c>
      <c r="F32" s="563">
        <f>'ЛП лоток перф (2)'!F32*1.54*($Q$2/100+1)</f>
        <v>830.76136893750004</v>
      </c>
      <c r="G32" s="563">
        <f>'ЛП лоток перф (2)'!G32*1.54*($Q$2/100+1)</f>
        <v>1057.3326513749998</v>
      </c>
      <c r="H32" s="563">
        <f>'ЛП лоток перф (2)'!H32*1.54*($Q$2/100+1)</f>
        <v>1479.1038079124999</v>
      </c>
      <c r="I32" s="569">
        <f>'ЛП лоток перф (2)'!I32*1.8*($Q$2/100+1)</f>
        <v>1416.1950049500001</v>
      </c>
      <c r="J32" s="569">
        <f>'ЛП лоток перф (2)'!J32*1.8*($Q$2/100+1)</f>
        <v>1802.4300063000001</v>
      </c>
      <c r="K32" s="569">
        <f>'ЛП лоток перф (2)'!K32*1.8*($Q$2/100+1)</f>
        <v>2565.6488153999999</v>
      </c>
      <c r="L32" s="579" t="s">
        <v>770</v>
      </c>
      <c r="M32" s="578">
        <f>'ЛП лоток перф (2)'!M32*1.8*($Q$2/100+1)</f>
        <v>3754.7908992000011</v>
      </c>
      <c r="N32" s="578">
        <f>'ЛП лоток перф (2)'!N32*1.8*($Q$2/100+1)</f>
        <v>4693.4886240000005</v>
      </c>
      <c r="O32" s="578">
        <f>'ЛП лоток перф (2)'!O32*1.8*($Q$2/100+1)</f>
        <v>5632.1863487999999</v>
      </c>
      <c r="P32" s="578">
        <f>'ЛП лоток перф (2)'!P32*1.8*($Q$2/100+1)</f>
        <v>7040.2329360000003</v>
      </c>
    </row>
    <row r="33" spans="1:16" ht="16.3">
      <c r="A33" s="433" t="s">
        <v>3392</v>
      </c>
      <c r="B33" s="557" t="s">
        <v>770</v>
      </c>
      <c r="C33" s="563">
        <f>'ЛП лоток перф (2)'!C33*1.55*($Q$2/100+1)</f>
        <v>536.50347867187497</v>
      </c>
      <c r="D33" s="563">
        <f>'ЛП лоток перф (2)'!D33*1.55*($Q$2/100+1)</f>
        <v>619.04247539062499</v>
      </c>
      <c r="E33" s="563">
        <f>'ЛП лоток перф (2)'!E33*1.63*($Q$2/100+1)</f>
        <v>781.19166571874996</v>
      </c>
      <c r="F33" s="563">
        <f>'ЛП лоток перф (2)'!F33*1.54*($Q$2/100+1)</f>
        <v>902.07135768750004</v>
      </c>
      <c r="G33" s="563">
        <f>'ЛП лоток перф (2)'!G33*1.54*($Q$2/100+1)</f>
        <v>1148.0908188749997</v>
      </c>
      <c r="H33" s="563">
        <f>'ЛП лоток перф (2)'!H33*1.54*($Q$2/100+1)</f>
        <v>1606.0655081625</v>
      </c>
      <c r="I33" s="569">
        <f>'ЛП лоток перф (2)'!I33*1.8*($Q$2/100+1)</f>
        <v>1537.7568079500004</v>
      </c>
      <c r="J33" s="569">
        <f>'ЛП лоток перф (2)'!J33*1.8*($Q$2/100+1)</f>
        <v>1957.1450282999999</v>
      </c>
      <c r="K33" s="569">
        <f>'ЛП лоток перф (2)'!K33*1.8*($Q$2/100+1)</f>
        <v>2769.6040613999999</v>
      </c>
      <c r="L33" s="579" t="s">
        <v>770</v>
      </c>
      <c r="M33" s="578">
        <f>'ЛП лоток перф (2)'!M33*1.8*($Q$2/100+1)</f>
        <v>4077.0905471999999</v>
      </c>
      <c r="N33" s="578">
        <f>'ЛП лоток перф (2)'!N33*1.8*($Q$2/100+1)</f>
        <v>5096.3631839999998</v>
      </c>
      <c r="O33" s="578">
        <f>'ЛП лоток перф (2)'!O33*1.8*($Q$2/100+1)</f>
        <v>6115.6358208000001</v>
      </c>
      <c r="P33" s="578">
        <f>'ЛП лоток перф (2)'!P33*1.8*($Q$2/100+1)</f>
        <v>7644.5447759999988</v>
      </c>
    </row>
    <row r="34" spans="1:16" ht="16.3">
      <c r="A34" s="433" t="s">
        <v>3391</v>
      </c>
      <c r="B34" s="557" t="s">
        <v>770</v>
      </c>
      <c r="C34" s="563">
        <f>'ЛП лоток перф (2)'!C34*1.55*($Q$2/100+1)</f>
        <v>642.53183414062494</v>
      </c>
      <c r="D34" s="563">
        <f>'ЛП лоток перф (2)'!D34*1.55*($Q$2/100+1)</f>
        <v>741.38288554687495</v>
      </c>
      <c r="E34" s="563">
        <f>'ЛП лоток перф (2)'!E34*1.63*($Q$2/100+1)</f>
        <v>935.57737040625</v>
      </c>
      <c r="F34" s="563">
        <f>'ЛП лоток перф (2)'!F34*1.54*($Q$2/100+1)</f>
        <v>1080.3463295624999</v>
      </c>
      <c r="G34" s="563">
        <f>'ЛП лоток перф (2)'!G34*1.54*($Q$2/100+1)</f>
        <v>1374.9862376249998</v>
      </c>
      <c r="H34" s="563">
        <f>'ЛП лоток перф (2)'!H34*1.54*($Q$2/100+1)</f>
        <v>1923.4697587874996</v>
      </c>
      <c r="I34" s="569">
        <f>'ЛП лоток перф (2)'!I34*1.8*($Q$2/100+1)</f>
        <v>1841.6613154499998</v>
      </c>
      <c r="J34" s="569">
        <f>'ЛП лоток перф (2)'!J34*1.8*($Q$2/100+1)</f>
        <v>2343.9325832999994</v>
      </c>
      <c r="K34" s="569">
        <f>'ЛП лоток перф (2)'!K34*1.8*($Q$2/100+1)</f>
        <v>3202.7874714</v>
      </c>
      <c r="L34" s="579" t="s">
        <v>770</v>
      </c>
      <c r="M34" s="578">
        <f>'ЛП лоток перф (2)'!M34*1.8*($Q$2/100+1)</f>
        <v>4882.8396671999999</v>
      </c>
      <c r="N34" s="578">
        <f>'ЛП лоток перф (2)'!N34*1.8*($Q$2/100+1)</f>
        <v>6103.5495840000003</v>
      </c>
      <c r="O34" s="578">
        <f>'ЛП лоток перф (2)'!O34*1.8*($Q$2/100+1)</f>
        <v>7324.2595007999989</v>
      </c>
      <c r="P34" s="578">
        <f>'ЛП лоток перф (2)'!P34*1.8*($Q$2/100+1)</f>
        <v>9155.3243759999987</v>
      </c>
    </row>
    <row r="35" spans="1:16" ht="16.3">
      <c r="A35" s="433" t="s">
        <v>3390</v>
      </c>
      <c r="B35" s="557" t="s">
        <v>770</v>
      </c>
      <c r="C35" s="563">
        <f>'ЛП лоток перф (2)'!C35*1.55*($Q$2/100+1)</f>
        <v>748.56018960937502</v>
      </c>
      <c r="D35" s="563">
        <f>'ЛП лоток перф (2)'!D35*1.55*($Q$2/100+1)</f>
        <v>863.72329570312513</v>
      </c>
      <c r="E35" s="563">
        <f>'ЛП лоток перф (2)'!E35*1.63*($Q$2/100+1)</f>
        <v>1089.9630750937499</v>
      </c>
      <c r="F35" s="563">
        <f>'ЛП лоток перф (2)'!F35*1.54*($Q$2/100+1)</f>
        <v>1258.6213014374998</v>
      </c>
      <c r="G35" s="563">
        <f>'ЛП лоток перф (2)'!G35*1.54*($Q$2/100+1)</f>
        <v>1601.8816563749997</v>
      </c>
      <c r="H35" s="563">
        <f>'ЛП лоток перф (2)'!H35*1.54*($Q$2/100+1)</f>
        <v>2240.8740094124996</v>
      </c>
      <c r="I35" s="569">
        <f>'ЛП лоток перф (2)'!I35*1.8*($Q$2/100+1)</f>
        <v>2145.56582295</v>
      </c>
      <c r="J35" s="569">
        <f>'ЛП лоток перф (2)'!J35*1.8*($Q$2/100+1)</f>
        <v>2730.7201382999997</v>
      </c>
      <c r="K35" s="569">
        <f>'ЛП лоток перф (2)'!K35*1.8*($Q$2/100+1)</f>
        <v>3767.4646613999998</v>
      </c>
      <c r="L35" s="579" t="s">
        <v>770</v>
      </c>
      <c r="M35" s="578">
        <f>'ЛП лоток перф (2)'!M35*1.8*($Q$2/100+1)</f>
        <v>5688.5887871999994</v>
      </c>
      <c r="N35" s="578">
        <f>'ЛП лоток перф (2)'!N35*1.8*($Q$2/100+1)</f>
        <v>7110.7359839999999</v>
      </c>
      <c r="O35" s="578">
        <f>'ЛП лоток перф (2)'!O35*1.8*($Q$2/100+1)</f>
        <v>8532.8831807999995</v>
      </c>
      <c r="P35" s="578">
        <f>'ЛП лоток перф (2)'!P35*1.8*($Q$2/100+1)</f>
        <v>10666.103976</v>
      </c>
    </row>
    <row r="36" spans="1:16" ht="16.3">
      <c r="A36" s="433" t="s">
        <v>3389</v>
      </c>
      <c r="B36" s="557" t="s">
        <v>770</v>
      </c>
      <c r="C36" s="563">
        <f>'ЛП лоток перф (2)'!C36*1.55*($Q$2/100+1)</f>
        <v>536.50347867187497</v>
      </c>
      <c r="D36" s="563">
        <f>'ЛП лоток перф (2)'!D36*1.55*($Q$2/100+1)</f>
        <v>619.04247539062499</v>
      </c>
      <c r="E36" s="563">
        <f>'ЛП лоток перф (2)'!E36*1.63*($Q$2/100+1)</f>
        <v>781.19166571874996</v>
      </c>
      <c r="F36" s="563">
        <f>'ЛП лоток перф (2)'!F36*1.54*($Q$2/100+1)</f>
        <v>902.07135768750004</v>
      </c>
      <c r="G36" s="563">
        <f>'ЛП лоток перф (2)'!G36*1.54*($Q$2/100+1)</f>
        <v>1148.0908188749997</v>
      </c>
      <c r="H36" s="563">
        <f>'ЛП лоток перф (2)'!H36*1.54*($Q$2/100+1)</f>
        <v>1606.0655081625</v>
      </c>
      <c r="I36" s="569">
        <f>'ЛП лоток перф (2)'!I36*1.8*($Q$2/100+1)</f>
        <v>1537.7568079500004</v>
      </c>
      <c r="J36" s="569">
        <f>'ЛП лоток перф (2)'!J36*1.8*($Q$2/100+1)</f>
        <v>1957.1450282999999</v>
      </c>
      <c r="K36" s="569">
        <f>'ЛП лоток перф (2)'!K36*1.8*($Q$2/100+1)</f>
        <v>3295.5791813999999</v>
      </c>
      <c r="L36" s="579" t="s">
        <v>770</v>
      </c>
      <c r="M36" s="578">
        <f>'ЛП лоток перф (2)'!M36*1.8*($Q$2/100+1)</f>
        <v>4077.0905471999999</v>
      </c>
      <c r="N36" s="578">
        <f>'ЛП лоток перф (2)'!N36*1.8*($Q$2/100+1)</f>
        <v>5096.3631839999998</v>
      </c>
      <c r="O36" s="578">
        <f>'ЛП лоток перф (2)'!O36*1.8*($Q$2/100+1)</f>
        <v>6115.6358208000001</v>
      </c>
      <c r="P36" s="578">
        <f>'ЛП лоток перф (2)'!P36*1.8*($Q$2/100+1)</f>
        <v>7644.5447759999988</v>
      </c>
    </row>
    <row r="37" spans="1:16" ht="16.3">
      <c r="A37" s="433" t="s">
        <v>3388</v>
      </c>
      <c r="B37" s="557" t="s">
        <v>770</v>
      </c>
      <c r="C37" s="563">
        <f>'ЛП лоток перф (2)'!C37*1.55*($Q$2/100+1)</f>
        <v>557.70914976562506</v>
      </c>
      <c r="D37" s="563">
        <f>'ЛП лоток перф (2)'!D37*1.55*($Q$2/100+1)</f>
        <v>643.51055742187486</v>
      </c>
      <c r="E37" s="563">
        <f>'ЛП лоток перф (2)'!E37*1.63*($Q$2/100+1)</f>
        <v>812.06880665624999</v>
      </c>
      <c r="F37" s="563">
        <f>'ЛП лоток перф (2)'!F37*1.54*($Q$2/100+1)</f>
        <v>937.72635206250004</v>
      </c>
      <c r="G37" s="563">
        <f>'ЛП лоток перф (2)'!G37*1.54*($Q$2/100+1)</f>
        <v>1193.469902625</v>
      </c>
      <c r="H37" s="563">
        <f>'ЛП лоток перф (2)'!H37*1.54*($Q$2/100+1)</f>
        <v>1669.5463582875</v>
      </c>
      <c r="I37" s="569">
        <f>'ЛП лоток перф (2)'!I37*1.8*($Q$2/100+1)</f>
        <v>1598.5377094500002</v>
      </c>
      <c r="J37" s="569">
        <f>'ЛП лоток перф (2)'!J37*1.8*($Q$2/100+1)</f>
        <v>2034.5025392999996</v>
      </c>
      <c r="K37" s="569">
        <f>'ЛП лоток перф (2)'!K37*1.8*($Q$2/100+1)</f>
        <v>2926.3707594000002</v>
      </c>
      <c r="L37" s="579" t="s">
        <v>770</v>
      </c>
      <c r="M37" s="578">
        <f>'ЛП лоток перф (2)'!M37*1.8*($Q$2/100+1)</f>
        <v>4238.2403711999996</v>
      </c>
      <c r="N37" s="578">
        <f>'ЛП лоток перф (2)'!N37*1.8*($Q$2/100+1)</f>
        <v>5297.8004640000008</v>
      </c>
      <c r="O37" s="578">
        <f>'ЛП лоток перф (2)'!O37*1.8*($Q$2/100+1)</f>
        <v>6357.3605568000012</v>
      </c>
      <c r="P37" s="578">
        <f>'ЛП лоток перф (2)'!P37*1.8*($Q$2/100+1)</f>
        <v>7946.7006959999999</v>
      </c>
    </row>
    <row r="38" spans="1:16" ht="16.3">
      <c r="A38" s="433" t="s">
        <v>3385</v>
      </c>
      <c r="B38" s="557" t="s">
        <v>770</v>
      </c>
      <c r="C38" s="563">
        <f>'ЛП лоток перф (2)'!C38*1.55*($Q$2/100+1)</f>
        <v>568.31198531250004</v>
      </c>
      <c r="D38" s="563">
        <f>'ЛП лоток перф (2)'!D38*1.55*($Q$2/100+1)</f>
        <v>655.74459843749992</v>
      </c>
      <c r="E38" s="563">
        <f>'ЛП лоток перф (2)'!E38*1.63*($Q$2/100+1)</f>
        <v>827.50737712499995</v>
      </c>
      <c r="F38" s="563">
        <f>'ЛП лоток перф (2)'!F38*1.54*($Q$2/100+1)</f>
        <v>955.55384925000021</v>
      </c>
      <c r="G38" s="563">
        <f>'ЛП лоток перф (2)'!G38*1.54*($Q$2/100+1)</f>
        <v>1216.1594444999998</v>
      </c>
      <c r="H38" s="563">
        <f>'ЛП лоток перф (2)'!H38*1.54*($Q$2/100+1)</f>
        <v>1701.28678335</v>
      </c>
      <c r="I38" s="569">
        <f>'ЛП лоток перф (2)'!I38*1.8*($Q$2/100+1)</f>
        <v>1628.9281601999999</v>
      </c>
      <c r="J38" s="569">
        <f>'ЛП лоток перф (2)'!J38*1.8*($Q$2/100+1)</f>
        <v>2073.1812948000002</v>
      </c>
      <c r="K38" s="569">
        <f>'ЛП лоток перф (2)'!K38*1.8*($Q$2/100+1)</f>
        <v>3004.7541084000004</v>
      </c>
      <c r="L38" s="579" t="s">
        <v>770</v>
      </c>
      <c r="M38" s="578">
        <f>'ЛП лоток перф (2)'!M38*1.8*($Q$2/100+1)</f>
        <v>4318.8152832000005</v>
      </c>
      <c r="N38" s="578">
        <f>'ЛП лоток перф (2)'!N38*1.8*($Q$2/100+1)</f>
        <v>5398.5191040000009</v>
      </c>
      <c r="O38" s="578">
        <f>'ЛП лоток перф (2)'!O38*1.8*($Q$2/100+1)</f>
        <v>6478.2229248000003</v>
      </c>
      <c r="P38" s="578">
        <f>'ЛП лоток перф (2)'!P38*1.8*($Q$2/100+1)</f>
        <v>8097.7786560000013</v>
      </c>
    </row>
    <row r="39" spans="1:16" ht="16.3">
      <c r="A39" s="433" t="s">
        <v>3384</v>
      </c>
      <c r="B39" s="557" t="s">
        <v>770</v>
      </c>
      <c r="C39" s="563">
        <f>'ЛП лоток перф (2)'!C39*1.55*($Q$2/100+1)</f>
        <v>600.12049195312488</v>
      </c>
      <c r="D39" s="563">
        <f>'ЛП лоток перф (2)'!D39*1.55*($Q$2/100+1)</f>
        <v>692.44672148437485</v>
      </c>
      <c r="E39" s="563">
        <f>'ЛП лоток перф (2)'!E39*1.63*($Q$2/100+1)</f>
        <v>873.82308853124994</v>
      </c>
      <c r="F39" s="563">
        <f>'ЛП лоток перф (2)'!F39*1.54*($Q$2/100+1)</f>
        <v>1009.0363408124999</v>
      </c>
      <c r="G39" s="563">
        <f>'ЛП лоток перф (2)'!G39*1.54*($Q$2/100+1)</f>
        <v>1284.2280701249997</v>
      </c>
      <c r="H39" s="563">
        <f>'ЛП лоток перф (2)'!H39*1.54*($Q$2/100+1)</f>
        <v>1796.5080585374997</v>
      </c>
      <c r="I39" s="569">
        <f>'ЛП лоток перф (2)'!I39*1.8*($Q$2/100+1)</f>
        <v>1720.09951245</v>
      </c>
      <c r="J39" s="569">
        <f>'ЛП лоток перф (2)'!J39*1.8*($Q$2/100+1)</f>
        <v>2189.2175612999995</v>
      </c>
      <c r="K39" s="569">
        <f>'ЛП лоток перф (2)'!K39*1.8*($Q$2/100+1)</f>
        <v>3130.3260053999998</v>
      </c>
      <c r="L39" s="579" t="s">
        <v>770</v>
      </c>
      <c r="M39" s="578">
        <f>'ЛП лоток перф (2)'!M39*1.8*($Q$2/100+1)</f>
        <v>4560.5400191999997</v>
      </c>
      <c r="N39" s="578">
        <f>'ЛП лоток перф (2)'!N39*1.8*($Q$2/100+1)</f>
        <v>5700.6750239999992</v>
      </c>
      <c r="O39" s="578">
        <f>'ЛП лоток перф (2)'!O39*1.8*($Q$2/100+1)</f>
        <v>6840.8100287999987</v>
      </c>
      <c r="P39" s="578">
        <f>'ЛП лоток перф (2)'!P39*1.8*($Q$2/100+1)</f>
        <v>8551.0125359999984</v>
      </c>
    </row>
    <row r="40" spans="1:16" ht="16.3">
      <c r="A40" s="433" t="s">
        <v>3422</v>
      </c>
      <c r="B40" s="557" t="s">
        <v>770</v>
      </c>
      <c r="C40" s="563">
        <f>'ЛП лоток перф (2)'!C40*1.55*($Q$2/100+1)</f>
        <v>642.53183414062494</v>
      </c>
      <c r="D40" s="563">
        <f>'ЛП лоток перф (2)'!D40*1.55*($Q$2/100+1)</f>
        <v>741.38288554687495</v>
      </c>
      <c r="E40" s="563">
        <f>'ЛП лоток перф (2)'!E40*1.63*($Q$2/100+1)</f>
        <v>935.57737040625</v>
      </c>
      <c r="F40" s="563">
        <f>'ЛП лоток перф (2)'!F40*1.54*($Q$2/100+1)</f>
        <v>1080.3463295624999</v>
      </c>
      <c r="G40" s="563">
        <f>'ЛП лоток перф (2)'!G40*1.54*($Q$2/100+1)</f>
        <v>1374.9862376249998</v>
      </c>
      <c r="H40" s="563">
        <f>'ЛП лоток перф (2)'!H40*1.54*($Q$2/100+1)</f>
        <v>1923.4697587874996</v>
      </c>
      <c r="I40" s="569">
        <f>'ЛП лоток перф (2)'!I40*1.8*($Q$2/100+1)</f>
        <v>1841.6613154499998</v>
      </c>
      <c r="J40" s="569">
        <f>'ЛП лоток перф (2)'!J40*1.8*($Q$2/100+1)</f>
        <v>2343.9325832999994</v>
      </c>
      <c r="K40" s="569">
        <f>'ЛП лоток перф (2)'!K40*1.8*($Q$2/100+1)</f>
        <v>3334.2812514000002</v>
      </c>
      <c r="L40" s="579" t="s">
        <v>770</v>
      </c>
      <c r="M40" s="578">
        <f>'ЛП лоток перф (2)'!M40*1.8*($Q$2/100+1)</f>
        <v>4882.8396671999999</v>
      </c>
      <c r="N40" s="578">
        <f>'ЛП лоток перф (2)'!N40*1.8*($Q$2/100+1)</f>
        <v>6103.5495840000003</v>
      </c>
      <c r="O40" s="578">
        <f>'ЛП лоток перф (2)'!O40*1.8*($Q$2/100+1)</f>
        <v>7324.2595007999989</v>
      </c>
      <c r="P40" s="578">
        <f>'ЛП лоток перф (2)'!P40*1.8*($Q$2/100+1)</f>
        <v>9155.3243759999987</v>
      </c>
    </row>
    <row r="41" spans="1:16" ht="16.3">
      <c r="A41" s="433" t="s">
        <v>3423</v>
      </c>
      <c r="B41" s="557" t="s">
        <v>770</v>
      </c>
      <c r="C41" s="560" t="s">
        <v>770</v>
      </c>
      <c r="D41" s="563">
        <f>'ЛП лоток перф (2)'!D41*1.55*($Q$2/100+1)</f>
        <v>863.72329570312513</v>
      </c>
      <c r="E41" s="563">
        <f>'ЛП лоток перф (2)'!E41*1.63*($Q$2/100+1)</f>
        <v>1089.9630750937499</v>
      </c>
      <c r="F41" s="563">
        <f>'ЛП лоток перф (2)'!F41*1.54*($Q$2/100+1)</f>
        <v>1258.6213014374998</v>
      </c>
      <c r="G41" s="563">
        <f>'ЛП лоток перф (2)'!G41*1.54*($Q$2/100+1)</f>
        <v>1601.8816563749997</v>
      </c>
      <c r="H41" s="563">
        <f>'ЛП лоток перф (2)'!H41*1.54*($Q$2/100+1)</f>
        <v>2240.8740094124996</v>
      </c>
      <c r="I41" s="569">
        <f>'ЛП лоток перф (2)'!I41*1.8*($Q$2/100+1)</f>
        <v>2145.56582295</v>
      </c>
      <c r="J41" s="569">
        <f>'ЛП лоток перф (2)'!J41*1.8*($Q$2/100+1)</f>
        <v>2730.7201382999997</v>
      </c>
      <c r="K41" s="569">
        <f>'ЛП лоток перф (2)'!K41*1.8*($Q$2/100+1)</f>
        <v>3767.4646613999998</v>
      </c>
      <c r="L41" s="579" t="s">
        <v>770</v>
      </c>
      <c r="M41" s="578">
        <f>'ЛП лоток перф (2)'!M41*1.8*($Q$2/100+1)</f>
        <v>5688.5887871999994</v>
      </c>
      <c r="N41" s="578">
        <f>'ЛП лоток перф (2)'!N41*1.8*($Q$2/100+1)</f>
        <v>7110.7359839999999</v>
      </c>
      <c r="O41" s="578">
        <f>'ЛП лоток перф (2)'!O41*1.8*($Q$2/100+1)</f>
        <v>8532.8831807999995</v>
      </c>
      <c r="P41" s="578">
        <f>'ЛП лоток перф (2)'!P41*1.8*($Q$2/100+1)</f>
        <v>10666.103976</v>
      </c>
    </row>
    <row r="42" spans="1:16" ht="16.3">
      <c r="A42" s="433" t="s">
        <v>3383</v>
      </c>
      <c r="B42" s="557" t="s">
        <v>770</v>
      </c>
      <c r="C42" s="560" t="s">
        <v>770</v>
      </c>
      <c r="D42" s="563">
        <f>'ЛП лоток перф (2)'!D42*1.55*($Q$2/100+1)</f>
        <v>986.06370585937486</v>
      </c>
      <c r="E42" s="563">
        <f>'ЛП лоток перф (2)'!E42*1.63*($Q$2/100+1)</f>
        <v>1244.3487797812497</v>
      </c>
      <c r="F42" s="563">
        <f>'ЛП лоток перф (2)'!F42*1.54*($Q$2/100+1)</f>
        <v>1436.8962733125002</v>
      </c>
      <c r="G42" s="563">
        <f>'ЛП лоток перф (2)'!G42*1.54*($Q$2/100+1)</f>
        <v>1828.7770751249996</v>
      </c>
      <c r="H42" s="563">
        <f>'ЛП лоток перф (2)'!H42*1.54*($Q$2/100+1)</f>
        <v>2558.2782600374999</v>
      </c>
      <c r="I42" s="569">
        <f>'ЛП лоток перф (2)'!I42*1.8*($Q$2/100+1)</f>
        <v>2449.4703304499999</v>
      </c>
      <c r="J42" s="569">
        <f>'ЛП лоток перф (2)'!J42*1.8*($Q$2/100+1)</f>
        <v>3117.5076932999991</v>
      </c>
      <c r="K42" s="569">
        <f>'ЛП лоток перф (2)'!K42*1.8*($Q$2/100+1)</f>
        <v>4332.1418513999997</v>
      </c>
      <c r="L42" s="579" t="s">
        <v>770</v>
      </c>
      <c r="M42" s="578">
        <f>'ЛП лоток перф (2)'!M42*1.8*($Q$2/100+1)</f>
        <v>6494.3379072000007</v>
      </c>
      <c r="N42" s="578">
        <f>'ЛП лоток перф (2)'!N42*1.8*($Q$2/100+1)</f>
        <v>8117.9223840000004</v>
      </c>
      <c r="O42" s="578">
        <f>'ЛП лоток перф (2)'!O42*1.8*($Q$2/100+1)</f>
        <v>9741.5068607999983</v>
      </c>
      <c r="P42" s="578">
        <f>'ЛП лоток перф (2)'!P42*1.8*($Q$2/100+1)</f>
        <v>12176.883575999998</v>
      </c>
    </row>
    <row r="43" spans="1:16" ht="16.3">
      <c r="A43" s="433" t="s">
        <v>3382</v>
      </c>
      <c r="B43" s="557" t="s">
        <v>770</v>
      </c>
      <c r="C43" s="560" t="s">
        <v>770</v>
      </c>
      <c r="D43" s="563">
        <f>'ЛП лоток перф (2)'!D43*1.55*($Q$2/100+1)</f>
        <v>741.38288554687495</v>
      </c>
      <c r="E43" s="563">
        <f>'ЛП лоток перф (2)'!E43*1.63*($Q$2/100+1)</f>
        <v>935.57737040625</v>
      </c>
      <c r="F43" s="563">
        <f>'ЛП лоток перф (2)'!F43*1.54*($Q$2/100+1)</f>
        <v>1080.3463295624999</v>
      </c>
      <c r="G43" s="563">
        <f>'ЛП лоток перф (2)'!G43*1.54*($Q$2/100+1)</f>
        <v>1374.9862376249998</v>
      </c>
      <c r="H43" s="563">
        <f>'ЛП лоток перф (2)'!H43*1.54*($Q$2/100+1)</f>
        <v>1923.4697587874996</v>
      </c>
      <c r="I43" s="569">
        <f>'ЛП лоток перф (2)'!I43*1.8*($Q$2/100+1)</f>
        <v>1841.6613154499998</v>
      </c>
      <c r="J43" s="569">
        <f>'ЛП лоток перф (2)'!J43*1.8*($Q$2/100+1)</f>
        <v>2343.9325832999994</v>
      </c>
      <c r="K43" s="569">
        <f>'ЛП лоток перф (2)'!K43*1.8*($Q$2/100+1)</f>
        <v>3860.2563713999998</v>
      </c>
      <c r="L43" s="579" t="s">
        <v>770</v>
      </c>
      <c r="M43" s="578">
        <f>'ЛП лоток перф (2)'!M43*1.8*($Q$2/100+1)</f>
        <v>4882.8396671999999</v>
      </c>
      <c r="N43" s="578">
        <f>'ЛП лоток перф (2)'!N43*1.8*($Q$2/100+1)</f>
        <v>6103.5495840000003</v>
      </c>
      <c r="O43" s="578">
        <f>'ЛП лоток перф (2)'!O43*1.8*($Q$2/100+1)</f>
        <v>7324.2595007999989</v>
      </c>
      <c r="P43" s="578">
        <f>'ЛП лоток перф (2)'!P43*1.8*($Q$2/100+1)</f>
        <v>9155.3243759999987</v>
      </c>
    </row>
    <row r="44" spans="1:16" ht="16.3">
      <c r="A44" s="433" t="s">
        <v>3381</v>
      </c>
      <c r="B44" s="557" t="s">
        <v>770</v>
      </c>
      <c r="C44" s="560" t="s">
        <v>770</v>
      </c>
      <c r="D44" s="563">
        <f>'ЛП лоток перф (2)'!D44*1.55*($Q$2/100+1)</f>
        <v>765.85096757812494</v>
      </c>
      <c r="E44" s="563">
        <f>'ЛП лоток перф (2)'!E44*1.63*($Q$2/100+1)</f>
        <v>966.45451134374969</v>
      </c>
      <c r="F44" s="563">
        <f>'ЛП лоток перф (2)'!F44*1.54*($Q$2/100+1)</f>
        <v>1116.0013239374998</v>
      </c>
      <c r="G44" s="563">
        <f>'ЛП лоток перф (2)'!G44*1.54*($Q$2/100+1)</f>
        <v>1420.3653213749999</v>
      </c>
      <c r="H44" s="563">
        <f>'ЛП лоток перф (2)'!H44*1.54*($Q$2/100+1)</f>
        <v>1986.9506089124998</v>
      </c>
      <c r="I44" s="569">
        <f>'ЛП лоток перф (2)'!I44*1.8*($Q$2/100+1)</f>
        <v>1902.4422169499999</v>
      </c>
      <c r="J44" s="569">
        <f>'ЛП лоток перф (2)'!J44*1.8*($Q$2/100+1)</f>
        <v>2421.2900942999995</v>
      </c>
      <c r="K44" s="569">
        <f>'ЛП лоток перф (2)'!K44*1.8*($Q$2/100+1)</f>
        <v>3491.0479494000001</v>
      </c>
      <c r="L44" s="579" t="s">
        <v>770</v>
      </c>
      <c r="M44" s="578">
        <f>'ЛП лоток перф (2)'!M44*1.8*($Q$2/100+1)</f>
        <v>5043.9894911999991</v>
      </c>
      <c r="N44" s="578">
        <f>'ЛП лоток перф (2)'!N44*1.8*($Q$2/100+1)</f>
        <v>6304.9868639999986</v>
      </c>
      <c r="O44" s="578">
        <f>'ЛП лоток перф (2)'!O44*1.8*($Q$2/100+1)</f>
        <v>7565.9842367999991</v>
      </c>
      <c r="P44" s="578">
        <f>'ЛП лоток перф (2)'!P44*1.8*($Q$2/100+1)</f>
        <v>9457.4802959999979</v>
      </c>
    </row>
    <row r="45" spans="1:16" ht="16.3">
      <c r="A45" s="433" t="s">
        <v>3424</v>
      </c>
      <c r="B45" s="557" t="s">
        <v>770</v>
      </c>
      <c r="C45" s="560" t="s">
        <v>770</v>
      </c>
      <c r="D45" s="563">
        <f>'ЛП лоток перф (2)'!D45*1.55*($Q$2/100+1)</f>
        <v>778.08500859374999</v>
      </c>
      <c r="E45" s="563">
        <f>'ЛП лоток перф (2)'!E45*1.63*($Q$2/100+1)</f>
        <v>981.89308181249976</v>
      </c>
      <c r="F45" s="563">
        <f>'ЛП лоток перф (2)'!F45*1.54*($Q$2/100+1)</f>
        <v>1133.8288211249999</v>
      </c>
      <c r="G45" s="563">
        <f>'ЛП лоток перф (2)'!G45*1.54*($Q$2/100+1)</f>
        <v>1443.0548632499995</v>
      </c>
      <c r="H45" s="563">
        <f>'ЛП лоток перф (2)'!H45*1.54*($Q$2/100+1)</f>
        <v>2018.6910339749995</v>
      </c>
      <c r="I45" s="569">
        <f>'ЛП лоток перф (2)'!I45*1.8*($Q$2/100+1)</f>
        <v>1932.8326676999998</v>
      </c>
      <c r="J45" s="569">
        <f>'ЛП лоток перф (2)'!J45*1.8*($Q$2/100+1)</f>
        <v>2459.9688497999996</v>
      </c>
      <c r="K45" s="569">
        <f>'ЛП лоток перф (2)'!K45*1.8*($Q$2/100+1)</f>
        <v>3569.4312984000003</v>
      </c>
      <c r="L45" s="579" t="s">
        <v>770</v>
      </c>
      <c r="M45" s="578">
        <f>'ЛП лоток перф (2)'!M45*1.8*($Q$2/100+1)</f>
        <v>5124.5644032</v>
      </c>
      <c r="N45" s="578">
        <f>'ЛП лоток перф (2)'!N45*1.8*($Q$2/100+1)</f>
        <v>6405.7055039999996</v>
      </c>
      <c r="O45" s="578">
        <f>'ЛП лоток перф (2)'!O45*1.8*($Q$2/100+1)</f>
        <v>7686.8466047999991</v>
      </c>
      <c r="P45" s="578">
        <f>'ЛП лоток перф (2)'!P45*1.8*($Q$2/100+1)</f>
        <v>9608.5582559999984</v>
      </c>
    </row>
    <row r="46" spans="1:16" ht="16.3">
      <c r="A46" s="433" t="s">
        <v>3425</v>
      </c>
      <c r="B46" s="557" t="s">
        <v>770</v>
      </c>
      <c r="C46" s="560" t="s">
        <v>770</v>
      </c>
      <c r="D46" s="563">
        <f>'ЛП лоток перф (2)'!D46*1.55*($Q$2/100+1)</f>
        <v>814.78713164062515</v>
      </c>
      <c r="E46" s="563">
        <f>'ЛП лоток перф (2)'!E46*1.63*($Q$2/100+1)</f>
        <v>1028.2087932187501</v>
      </c>
      <c r="F46" s="563">
        <f>'ЛП лоток перф (2)'!F46*1.54*($Q$2/100+1)</f>
        <v>1187.3113126875003</v>
      </c>
      <c r="G46" s="563">
        <f>'ЛП лоток перф (2)'!G46*1.54*($Q$2/100+1)</f>
        <v>1511.123488875</v>
      </c>
      <c r="H46" s="563">
        <f>'ЛП лоток перф (2)'!H46*1.54*($Q$2/100+1)</f>
        <v>2113.9123091625002</v>
      </c>
      <c r="I46" s="569">
        <f>'ЛП лоток перф (2)'!I46*1.8*($Q$2/100+1)</f>
        <v>2024.0040199500002</v>
      </c>
      <c r="J46" s="569">
        <f>'ЛП лоток перф (2)'!J46*1.8*($Q$2/100+1)</f>
        <v>2576.0051162999998</v>
      </c>
      <c r="K46" s="569">
        <f>'ЛП лоток перф (2)'!K46*1.8*($Q$2/100+1)</f>
        <v>3695.0031954000005</v>
      </c>
      <c r="L46" s="579" t="s">
        <v>770</v>
      </c>
      <c r="M46" s="578">
        <f>'ЛП лоток перф (2)'!M46*1.8*($Q$2/100+1)</f>
        <v>5366.2891392000001</v>
      </c>
      <c r="N46" s="578">
        <f>'ЛП лоток перф (2)'!N46*1.8*($Q$2/100+1)</f>
        <v>6707.8614239999997</v>
      </c>
      <c r="O46" s="578">
        <f>'ЛП лоток перф (2)'!O46*1.8*($Q$2/100+1)</f>
        <v>8049.4337087999993</v>
      </c>
      <c r="P46" s="578">
        <f>'ЛП лоток перф (2)'!P46*1.8*($Q$2/100+1)</f>
        <v>10061.792136000002</v>
      </c>
    </row>
    <row r="47" spans="1:16" ht="16.3">
      <c r="A47" s="433" t="s">
        <v>3426</v>
      </c>
      <c r="B47" s="557" t="s">
        <v>770</v>
      </c>
      <c r="C47" s="560" t="s">
        <v>770</v>
      </c>
      <c r="D47" s="563">
        <f>'ЛП лоток перф (2)'!D47*1.55*($Q$2/100+1)</f>
        <v>863.72329570312513</v>
      </c>
      <c r="E47" s="563">
        <f>'ЛП лоток перф (2)'!E47*1.63*($Q$2/100+1)</f>
        <v>1089.9630750937499</v>
      </c>
      <c r="F47" s="563">
        <f>'ЛП лоток перф (2)'!F47*1.54*($Q$2/100+1)</f>
        <v>1258.6213014374998</v>
      </c>
      <c r="G47" s="563">
        <f>'ЛП лоток перф (2)'!G47*1.54*($Q$2/100+1)</f>
        <v>1601.8816563749997</v>
      </c>
      <c r="H47" s="563">
        <f>'ЛП лоток перф (2)'!H47*1.54*($Q$2/100+1)</f>
        <v>2240.8740094124996</v>
      </c>
      <c r="I47" s="569">
        <f>'ЛП лоток перф (2)'!I47*1.8*($Q$2/100+1)</f>
        <v>2145.56582295</v>
      </c>
      <c r="J47" s="569">
        <f>'ЛП лоток перф (2)'!J47*1.8*($Q$2/100+1)</f>
        <v>2730.7201382999997</v>
      </c>
      <c r="K47" s="569">
        <f>'ЛП лоток перф (2)'!K47*1.8*($Q$2/100+1)</f>
        <v>3898.9584414000001</v>
      </c>
      <c r="L47" s="579" t="s">
        <v>770</v>
      </c>
      <c r="M47" s="578">
        <f>'ЛП лоток перф (2)'!M47*1.8*($Q$2/100+1)</f>
        <v>5688.5887871999994</v>
      </c>
      <c r="N47" s="578">
        <f>'ЛП лоток перф (2)'!N47*1.8*($Q$2/100+1)</f>
        <v>7110.7359839999999</v>
      </c>
      <c r="O47" s="578">
        <f>'ЛП лоток перф (2)'!O47*1.8*($Q$2/100+1)</f>
        <v>8532.8831807999995</v>
      </c>
      <c r="P47" s="578">
        <f>'ЛП лоток перф (2)'!P47*1.8*($Q$2/100+1)</f>
        <v>10666.103976</v>
      </c>
    </row>
    <row r="48" spans="1:16" ht="16.3">
      <c r="A48" s="433" t="s">
        <v>3380</v>
      </c>
      <c r="B48" s="557" t="s">
        <v>770</v>
      </c>
      <c r="C48" s="560" t="s">
        <v>770</v>
      </c>
      <c r="D48" s="560" t="s">
        <v>770</v>
      </c>
      <c r="E48" s="563">
        <f>'ЛП лоток перф (2)'!E48*1.63*($Q$2/100+1)</f>
        <v>1244.3487797812497</v>
      </c>
      <c r="F48" s="563">
        <f>'ЛП лоток перф (2)'!F48*1.54*($Q$2/100+1)</f>
        <v>1436.8962733125002</v>
      </c>
      <c r="G48" s="563">
        <f>'ЛП лоток перф (2)'!G48*1.54*($Q$2/100+1)</f>
        <v>1828.7770751249996</v>
      </c>
      <c r="H48" s="563">
        <f>'ЛП лоток перф (2)'!H48*1.54*($Q$2/100+1)</f>
        <v>2558.2782600374999</v>
      </c>
      <c r="I48" s="569">
        <f>'ЛП лоток перф (2)'!I48*1.8*($Q$2/100+1)</f>
        <v>2449.4703304499999</v>
      </c>
      <c r="J48" s="569">
        <f>'ЛП лоток перф (2)'!J48*1.8*($Q$2/100+1)</f>
        <v>3117.5076932999991</v>
      </c>
      <c r="K48" s="569">
        <f>'ЛП лоток перф (2)'!K48*1.8*($Q$2/100+1)</f>
        <v>4332.1418513999997</v>
      </c>
      <c r="L48" s="579" t="s">
        <v>770</v>
      </c>
      <c r="M48" s="580" t="s">
        <v>770</v>
      </c>
      <c r="N48" s="578">
        <f>'ЛП лоток перф (2)'!N48*1.8*($Q$2/100+1)</f>
        <v>8117.9223840000004</v>
      </c>
      <c r="O48" s="578">
        <f>'ЛП лоток перф (2)'!O48*1.8*($Q$2/100+1)</f>
        <v>9741.5068607999983</v>
      </c>
      <c r="P48" s="578">
        <f>'ЛП лоток перф (2)'!P48*1.8*($Q$2/100+1)</f>
        <v>12176.883575999998</v>
      </c>
    </row>
    <row r="49" spans="1:16" ht="16.3">
      <c r="A49" s="433" t="s">
        <v>3379</v>
      </c>
      <c r="B49" s="557" t="s">
        <v>770</v>
      </c>
      <c r="C49" s="560" t="s">
        <v>770</v>
      </c>
      <c r="D49" s="560" t="s">
        <v>770</v>
      </c>
      <c r="E49" s="563">
        <f>'ЛП лоток перф (2)'!E49*1.63*($Q$2/100+1)</f>
        <v>1398.73448446875</v>
      </c>
      <c r="F49" s="563">
        <f>'ЛП лоток перф (2)'!F49*1.54*($Q$2/100+1)</f>
        <v>1615.1712451875001</v>
      </c>
      <c r="G49" s="563">
        <f>'ЛП лоток перф (2)'!G49*1.54*($Q$2/100+1)</f>
        <v>2055.6724938749999</v>
      </c>
      <c r="H49" s="563">
        <f>'ЛП лоток перф (2)'!H49*1.54*($Q$2/100+1)</f>
        <v>2875.6825106624997</v>
      </c>
      <c r="I49" s="569">
        <f>'ЛП лоток перф (2)'!I49*1.8*($Q$2/100+1)</f>
        <v>2753.3748379499998</v>
      </c>
      <c r="J49" s="569">
        <f>'ЛП лоток перф (2)'!J49*1.8*($Q$2/100+1)</f>
        <v>3504.2952482999999</v>
      </c>
      <c r="K49" s="569">
        <f>'ЛП лоток перф (2)'!K49*1.8*($Q$2/100+1)</f>
        <v>4896.8190414000001</v>
      </c>
      <c r="L49" s="579" t="s">
        <v>770</v>
      </c>
      <c r="M49" s="580" t="s">
        <v>770</v>
      </c>
      <c r="N49" s="578">
        <f>'ЛП лоток перф (2)'!N49*1.8*($Q$2/100+1)</f>
        <v>9125.108784</v>
      </c>
      <c r="O49" s="578">
        <f>'ЛП лоток перф (2)'!O49*1.8*($Q$2/100+1)</f>
        <v>10950.130540799997</v>
      </c>
      <c r="P49" s="578">
        <f>'ЛП лоток перф (2)'!P49*1.8*($Q$2/100+1)</f>
        <v>13687.663175999998</v>
      </c>
    </row>
    <row r="50" spans="1:16" ht="16.3">
      <c r="A50" s="433" t="s">
        <v>3427</v>
      </c>
      <c r="B50" s="557" t="s">
        <v>770</v>
      </c>
      <c r="C50" s="560" t="s">
        <v>770</v>
      </c>
      <c r="D50" s="560" t="s">
        <v>770</v>
      </c>
      <c r="E50" s="563">
        <f>'ЛП лоток перф (2)'!E50*1.63*($Q$2/100+1)</f>
        <v>1089.9630750937499</v>
      </c>
      <c r="F50" s="563">
        <f>'ЛП лоток перф (2)'!F50*1.54*($Q$2/100+1)</f>
        <v>1258.6213014374998</v>
      </c>
      <c r="G50" s="563">
        <f>'ЛП лоток перф (2)'!G50*1.54*($Q$2/100+1)</f>
        <v>1601.8816563749997</v>
      </c>
      <c r="H50" s="563">
        <f>'ЛП лоток перф (2)'!H50*1.54*($Q$2/100+1)</f>
        <v>2240.8740094124996</v>
      </c>
      <c r="I50" s="569">
        <f>'ЛП лоток перф (2)'!I50*1.8*($Q$2/100+1)</f>
        <v>2145.56582295</v>
      </c>
      <c r="J50" s="569">
        <f>'ЛП лоток перф (2)'!J50*1.8*($Q$2/100+1)</f>
        <v>2730.7201382999997</v>
      </c>
      <c r="K50" s="569">
        <f>'ЛП лоток перф (2)'!K50*1.8*($Q$2/100+1)</f>
        <v>4424.9335614000001</v>
      </c>
      <c r="L50" s="579" t="s">
        <v>770</v>
      </c>
      <c r="M50" s="580" t="s">
        <v>770</v>
      </c>
      <c r="N50" s="578">
        <f>'ЛП лоток перф (2)'!N50*1.8*($Q$2/100+1)</f>
        <v>7110.7359839999999</v>
      </c>
      <c r="O50" s="578">
        <f>'ЛП лоток перф (2)'!O50*1.8*($Q$2/100+1)</f>
        <v>8532.8831807999995</v>
      </c>
      <c r="P50" s="578">
        <f>'ЛП лоток перф (2)'!P50*1.8*($Q$2/100+1)</f>
        <v>10666.103976</v>
      </c>
    </row>
    <row r="51" spans="1:16" ht="16.3">
      <c r="A51" s="433" t="s">
        <v>3428</v>
      </c>
      <c r="B51" s="557" t="s">
        <v>770</v>
      </c>
      <c r="C51" s="560" t="s">
        <v>770</v>
      </c>
      <c r="D51" s="560" t="s">
        <v>770</v>
      </c>
      <c r="E51" s="563">
        <f>'ЛП лоток перф (2)'!E51*1.63*($Q$2/100+1)</f>
        <v>1182.5944979062499</v>
      </c>
      <c r="F51" s="563">
        <f>'ЛП лоток перф (2)'!F51*1.54*($Q$2/100+1)</f>
        <v>1365.5862845625004</v>
      </c>
      <c r="G51" s="563">
        <f>'ЛП лоток перф (2)'!G51*1.54*($Q$2/100+1)</f>
        <v>1738.0189076249997</v>
      </c>
      <c r="H51" s="563">
        <f>'ЛП лоток перф (2)'!H51*1.54*($Q$2/100+1)</f>
        <v>2431.3165597875</v>
      </c>
      <c r="I51" s="569">
        <f>'ЛП лоток перф (2)'!I51*1.8*($Q$2/100+1)</f>
        <v>2327.9085274500003</v>
      </c>
      <c r="J51" s="569">
        <f>'ЛП лоток перф (2)'!J51*1.8*($Q$2/100+1)</f>
        <v>2962.7926712999997</v>
      </c>
      <c r="K51" s="569">
        <f>'ЛП лоток перф (2)'!K51*1.8*($Q$2/100+1)</f>
        <v>4193.9334954000005</v>
      </c>
      <c r="L51" s="579" t="s">
        <v>770</v>
      </c>
      <c r="M51" s="580" t="s">
        <v>770</v>
      </c>
      <c r="N51" s="578">
        <f>'ЛП лоток перф (2)'!N51*1.8*($Q$2/100+1)</f>
        <v>7715.0478240000002</v>
      </c>
      <c r="O51" s="578">
        <f>'ЛП лоток перф (2)'!O51*1.8*($Q$2/100+1)</f>
        <v>9258.0573887999999</v>
      </c>
      <c r="P51" s="578">
        <f>'ЛП лоток перф (2)'!P51*1.8*($Q$2/100+1)</f>
        <v>11572.571736</v>
      </c>
    </row>
    <row r="52" spans="1:16" ht="16.3">
      <c r="A52" s="433" t="s">
        <v>3429</v>
      </c>
      <c r="B52" s="557" t="s">
        <v>770</v>
      </c>
      <c r="C52" s="560" t="s">
        <v>770</v>
      </c>
      <c r="D52" s="560" t="s">
        <v>770</v>
      </c>
      <c r="E52" s="563">
        <f>'ЛП лоток перф (2)'!E52*1.63*($Q$2/100+1)</f>
        <v>1244.3487797812497</v>
      </c>
      <c r="F52" s="563">
        <f>'ЛП лоток перф (2)'!F52*1.54*($Q$2/100+1)</f>
        <v>1436.8962733125002</v>
      </c>
      <c r="G52" s="563">
        <f>'ЛП лоток перф (2)'!G52*1.54*($Q$2/100+1)</f>
        <v>1828.7770751249996</v>
      </c>
      <c r="H52" s="563">
        <f>'ЛП лоток перф (2)'!H52*1.54*($Q$2/100+1)</f>
        <v>2558.2782600374999</v>
      </c>
      <c r="I52" s="569">
        <f>'ЛП лоток перф (2)'!I52*1.8*($Q$2/100+1)</f>
        <v>2449.4703304499999</v>
      </c>
      <c r="J52" s="569">
        <f>'ЛП лоток перф (2)'!J52*1.8*($Q$2/100+1)</f>
        <v>3117.5076932999991</v>
      </c>
      <c r="K52" s="569">
        <f>'ЛП лоток перф (2)'!K52*1.8*($Q$2/100+1)</f>
        <v>4463.6356314000004</v>
      </c>
      <c r="L52" s="579" t="s">
        <v>770</v>
      </c>
      <c r="M52" s="580" t="s">
        <v>770</v>
      </c>
      <c r="N52" s="578">
        <f>'ЛП лоток перф (2)'!N52*1.8*($Q$2/100+1)</f>
        <v>8117.9223840000004</v>
      </c>
      <c r="O52" s="578">
        <f>'ЛП лоток перф (2)'!O52*1.8*($Q$2/100+1)</f>
        <v>9741.5068607999983</v>
      </c>
      <c r="P52" s="578">
        <f>'ЛП лоток перф (2)'!P52*1.8*($Q$2/100+1)</f>
        <v>12176.883575999998</v>
      </c>
    </row>
    <row r="53" spans="1:16" ht="16.3">
      <c r="A53" s="433" t="s">
        <v>3378</v>
      </c>
      <c r="B53" s="557" t="s">
        <v>770</v>
      </c>
      <c r="C53" s="560" t="s">
        <v>770</v>
      </c>
      <c r="D53" s="560" t="s">
        <v>770</v>
      </c>
      <c r="E53" s="563">
        <f>'ЛП лоток перф (2)'!E53*1.63*($Q$2/100+1)</f>
        <v>1398.73448446875</v>
      </c>
      <c r="F53" s="563">
        <f>'ЛП лоток перф (2)'!F53*1.54*($Q$2/100+1)</f>
        <v>1615.1712451875001</v>
      </c>
      <c r="G53" s="563">
        <f>'ЛП лоток перф (2)'!G53*1.54*($Q$2/100+1)</f>
        <v>2055.6724938749999</v>
      </c>
      <c r="H53" s="563">
        <f>'ЛП лоток перф (2)'!H53*1.54*($Q$2/100+1)</f>
        <v>2875.6825106624997</v>
      </c>
      <c r="I53" s="569">
        <f>'ЛП лоток перф (2)'!I53*1.8*($Q$2/100+1)</f>
        <v>2753.3748379499998</v>
      </c>
      <c r="J53" s="569">
        <f>'ЛП лоток перф (2)'!J53*1.8*($Q$2/100+1)</f>
        <v>3504.2952482999999</v>
      </c>
      <c r="K53" s="569">
        <f>'ЛП лоток перф (2)'!K53*1.8*($Q$2/100+1)</f>
        <v>4896.8190414000001</v>
      </c>
      <c r="L53" s="579" t="s">
        <v>770</v>
      </c>
      <c r="M53" s="580" t="s">
        <v>770</v>
      </c>
      <c r="N53" s="578">
        <f>'ЛП лоток перф (2)'!N53*1.8*($Q$2/100+1)</f>
        <v>9125.108784</v>
      </c>
      <c r="O53" s="578">
        <f>'ЛП лоток перф (2)'!O53*1.8*($Q$2/100+1)</f>
        <v>10950.130540799997</v>
      </c>
      <c r="P53" s="578">
        <f>'ЛП лоток перф (2)'!P53*1.8*($Q$2/100+1)</f>
        <v>13687.663175999998</v>
      </c>
    </row>
    <row r="54" spans="1:16" ht="17" thickBot="1">
      <c r="A54" s="435" t="s">
        <v>3430</v>
      </c>
      <c r="B54" s="558" t="s">
        <v>770</v>
      </c>
      <c r="C54" s="562" t="s">
        <v>770</v>
      </c>
      <c r="D54" s="562" t="s">
        <v>770</v>
      </c>
      <c r="E54" s="561">
        <f>'ЛП лоток перф (2)'!E54*1.63*($Q$2/100+1)</f>
        <v>1553.12018915625</v>
      </c>
      <c r="F54" s="561">
        <f>'ЛП лоток перф (2)'!F54*1.54*($Q$2/100+1)</f>
        <v>1793.4462170625</v>
      </c>
      <c r="G54" s="561">
        <f>'ЛП лоток перф (2)'!G54*1.54*($Q$2/100+1)</f>
        <v>2282.5679126250002</v>
      </c>
      <c r="H54" s="561">
        <f>'ЛП лоток перф (2)'!H54*1.54*($Q$2/100+1)</f>
        <v>3193.0867612874995</v>
      </c>
      <c r="I54" s="771">
        <f>'ЛП лоток перф (2)'!I54*1.8*($Q$2/100+1)</f>
        <v>3057.2793454500002</v>
      </c>
      <c r="J54" s="771">
        <f>'ЛП лоток перф (2)'!J54*1.8*($Q$2/100+1)</f>
        <v>3891.0828033000003</v>
      </c>
      <c r="K54" s="771">
        <f>'ЛП лоток перф (2)'!K54*1.8*($Q$2/100+1)</f>
        <v>5461.4962313999995</v>
      </c>
      <c r="L54" s="581" t="s">
        <v>770</v>
      </c>
      <c r="M54" s="582" t="s">
        <v>770</v>
      </c>
      <c r="N54" s="581">
        <f>'ЛП лоток перф (2)'!N54*1.8*($Q$2/100+1)</f>
        <v>10132.295184000001</v>
      </c>
      <c r="O54" s="581">
        <f>'ЛП лоток перф (2)'!O54*1.8*($Q$2/100+1)</f>
        <v>12158.754220799998</v>
      </c>
      <c r="P54" s="581">
        <f>'ЛП лоток перф (2)'!P54*1.8*($Q$2/100+1)</f>
        <v>15198.442775999998</v>
      </c>
    </row>
    <row r="55" spans="1:16" s="342" customFormat="1">
      <c r="A55" s="370"/>
      <c r="B55" s="370"/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370"/>
      <c r="P55" s="370"/>
    </row>
    <row r="56" spans="1:16" s="342" customFormat="1">
      <c r="A56" s="370"/>
      <c r="B56" s="370"/>
      <c r="C56" s="370"/>
      <c r="D56" s="370"/>
      <c r="E56" s="370"/>
      <c r="F56" s="370"/>
      <c r="G56" s="370"/>
      <c r="H56" s="370"/>
      <c r="I56" s="370"/>
      <c r="J56" s="370"/>
      <c r="K56" s="370"/>
      <c r="L56" s="370"/>
      <c r="M56" s="370"/>
      <c r="N56" s="370"/>
      <c r="O56" s="370"/>
      <c r="P56" s="370"/>
    </row>
    <row r="57" spans="1:16" s="342" customFormat="1">
      <c r="A57" s="370"/>
      <c r="B57" s="370"/>
      <c r="C57" s="370"/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0"/>
      <c r="P57" s="370"/>
    </row>
    <row r="58" spans="1:16" s="342" customFormat="1">
      <c r="A58" s="370"/>
      <c r="B58" s="370"/>
      <c r="C58" s="370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370"/>
      <c r="P58" s="370"/>
    </row>
    <row r="59" spans="1:16" s="342" customFormat="1">
      <c r="A59" s="436"/>
      <c r="B59" s="370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</row>
    <row r="60" spans="1:16" s="342" customFormat="1">
      <c r="A60" s="370"/>
      <c r="B60" s="370"/>
      <c r="C60" s="370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370"/>
      <c r="O60" s="370"/>
      <c r="P60" s="370"/>
    </row>
    <row r="61" spans="1:16" s="342" customFormat="1">
      <c r="A61" s="370"/>
      <c r="B61" s="370"/>
      <c r="C61" s="370"/>
      <c r="D61" s="370"/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370"/>
      <c r="P61" s="370"/>
    </row>
    <row r="62" spans="1:16" s="342" customFormat="1">
      <c r="A62" s="370"/>
      <c r="B62" s="370"/>
      <c r="C62" s="370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370"/>
    </row>
    <row r="63" spans="1:16" s="342" customFormat="1">
      <c r="A63" s="370"/>
      <c r="B63" s="370"/>
      <c r="C63" s="370"/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370"/>
      <c r="O63" s="370"/>
      <c r="P63" s="370"/>
    </row>
    <row r="64" spans="1:16" s="342" customFormat="1">
      <c r="A64" s="370"/>
      <c r="B64" s="370"/>
      <c r="C64" s="370"/>
      <c r="D64" s="370"/>
      <c r="E64" s="370"/>
      <c r="F64" s="370"/>
      <c r="G64" s="370"/>
      <c r="H64" s="370"/>
      <c r="I64" s="370"/>
      <c r="J64" s="370"/>
      <c r="K64" s="370"/>
      <c r="L64" s="370"/>
      <c r="M64" s="370"/>
      <c r="N64" s="370"/>
      <c r="O64" s="370"/>
      <c r="P64" s="370"/>
    </row>
    <row r="65" spans="1:16" s="342" customFormat="1">
      <c r="A65" s="370"/>
      <c r="B65" s="370"/>
      <c r="C65" s="370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</row>
    <row r="66" spans="1:16" s="342" customFormat="1">
      <c r="A66" s="370"/>
      <c r="B66" s="370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</row>
    <row r="67" spans="1:16" s="342" customFormat="1">
      <c r="A67" s="370"/>
      <c r="B67" s="370"/>
      <c r="C67" s="370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</row>
    <row r="68" spans="1:16" s="342" customFormat="1">
      <c r="A68" s="370"/>
      <c r="B68" s="370"/>
      <c r="C68" s="370"/>
      <c r="D68" s="370"/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370"/>
      <c r="P68" s="370"/>
    </row>
    <row r="69" spans="1:16" s="342" customFormat="1">
      <c r="A69" s="370"/>
      <c r="B69" s="370"/>
      <c r="C69" s="370"/>
      <c r="D69" s="370"/>
      <c r="E69" s="370"/>
      <c r="F69" s="370"/>
      <c r="G69" s="370"/>
      <c r="H69" s="370"/>
      <c r="I69" s="370"/>
      <c r="J69" s="370"/>
      <c r="K69" s="370"/>
      <c r="L69" s="370"/>
      <c r="M69" s="370"/>
      <c r="N69" s="370"/>
      <c r="O69" s="370"/>
      <c r="P69" s="370"/>
    </row>
    <row r="70" spans="1:16" s="342" customFormat="1">
      <c r="A70" s="370"/>
      <c r="B70" s="370"/>
      <c r="C70" s="370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</row>
    <row r="71" spans="1:16" s="342" customFormat="1">
      <c r="A71" s="370"/>
      <c r="B71" s="370"/>
      <c r="C71" s="370"/>
      <c r="D71" s="370"/>
      <c r="E71" s="370"/>
      <c r="F71" s="370"/>
      <c r="G71" s="370"/>
      <c r="H71" s="370"/>
      <c r="I71" s="370"/>
      <c r="J71" s="370"/>
      <c r="K71" s="370"/>
      <c r="L71" s="370"/>
      <c r="M71" s="370"/>
      <c r="N71" s="370"/>
      <c r="O71" s="370"/>
      <c r="P71" s="370"/>
    </row>
    <row r="72" spans="1:16" s="342" customFormat="1">
      <c r="A72" s="370"/>
      <c r="B72" s="370"/>
      <c r="C72" s="370"/>
      <c r="D72" s="370"/>
      <c r="E72" s="370"/>
      <c r="F72" s="370"/>
      <c r="G72" s="370"/>
      <c r="H72" s="370"/>
      <c r="I72" s="370"/>
      <c r="J72" s="370"/>
      <c r="K72" s="370"/>
      <c r="L72" s="370"/>
      <c r="M72" s="370"/>
      <c r="N72" s="370"/>
      <c r="O72" s="370"/>
      <c r="P72" s="370"/>
    </row>
    <row r="73" spans="1:16" s="342" customFormat="1">
      <c r="A73" s="370"/>
      <c r="B73" s="370"/>
      <c r="C73" s="370"/>
      <c r="D73" s="370"/>
      <c r="E73" s="370"/>
      <c r="F73" s="370"/>
      <c r="G73" s="370"/>
      <c r="H73" s="370"/>
      <c r="I73" s="370"/>
      <c r="J73" s="370"/>
      <c r="K73" s="370"/>
      <c r="L73" s="370"/>
      <c r="M73" s="370"/>
      <c r="N73" s="370"/>
      <c r="O73" s="370"/>
      <c r="P73" s="370"/>
    </row>
    <row r="74" spans="1:16" s="342" customFormat="1">
      <c r="A74" s="370"/>
      <c r="B74" s="370"/>
      <c r="C74" s="370"/>
      <c r="D74" s="370"/>
      <c r="E74" s="370"/>
      <c r="F74" s="370"/>
      <c r="G74" s="370"/>
      <c r="H74" s="370"/>
      <c r="I74" s="370"/>
      <c r="J74" s="370"/>
      <c r="K74" s="370"/>
      <c r="L74" s="370"/>
      <c r="M74" s="370"/>
      <c r="N74" s="370"/>
      <c r="O74" s="370"/>
      <c r="P74" s="370"/>
    </row>
    <row r="75" spans="1:16" s="342" customFormat="1">
      <c r="A75" s="370"/>
      <c r="B75" s="370"/>
      <c r="C75" s="370"/>
      <c r="D75" s="370"/>
      <c r="E75" s="370"/>
      <c r="F75" s="370"/>
      <c r="G75" s="370"/>
      <c r="H75" s="370"/>
      <c r="I75" s="370"/>
      <c r="J75" s="370"/>
      <c r="K75" s="370"/>
      <c r="L75" s="370"/>
      <c r="M75" s="370"/>
      <c r="N75" s="370"/>
      <c r="O75" s="370"/>
      <c r="P75" s="370"/>
    </row>
    <row r="76" spans="1:16" s="342" customFormat="1">
      <c r="A76" s="370"/>
      <c r="B76" s="370"/>
      <c r="C76" s="370"/>
      <c r="D76" s="370"/>
      <c r="E76" s="370"/>
      <c r="F76" s="370"/>
      <c r="G76" s="370"/>
      <c r="H76" s="370"/>
      <c r="I76" s="370"/>
      <c r="J76" s="370"/>
      <c r="K76" s="370"/>
      <c r="L76" s="370"/>
      <c r="M76" s="370"/>
      <c r="N76" s="370"/>
      <c r="O76" s="370"/>
      <c r="P76" s="370"/>
    </row>
    <row r="77" spans="1:16" s="342" customFormat="1">
      <c r="A77" s="370"/>
      <c r="B77" s="370"/>
      <c r="C77" s="370"/>
      <c r="D77" s="370"/>
      <c r="E77" s="370"/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</row>
    <row r="78" spans="1:16" s="342" customFormat="1">
      <c r="A78" s="370"/>
      <c r="B78" s="370"/>
      <c r="C78" s="370"/>
      <c r="D78" s="370"/>
      <c r="E78" s="370"/>
      <c r="F78" s="370"/>
      <c r="G78" s="370"/>
      <c r="H78" s="370"/>
      <c r="I78" s="370"/>
      <c r="J78" s="370"/>
      <c r="K78" s="370"/>
      <c r="L78" s="370"/>
      <c r="M78" s="370"/>
      <c r="N78" s="370"/>
      <c r="O78" s="370"/>
      <c r="P78" s="370"/>
    </row>
    <row r="79" spans="1:16" s="342" customFormat="1">
      <c r="A79" s="370"/>
      <c r="B79" s="370"/>
      <c r="C79" s="370"/>
      <c r="D79" s="370"/>
      <c r="E79" s="370"/>
      <c r="F79" s="370"/>
      <c r="G79" s="370"/>
      <c r="H79" s="370"/>
      <c r="I79" s="370"/>
      <c r="J79" s="370"/>
      <c r="K79" s="370"/>
      <c r="L79" s="370"/>
      <c r="M79" s="370"/>
      <c r="N79" s="370"/>
      <c r="O79" s="370"/>
      <c r="P79" s="370"/>
    </row>
    <row r="80" spans="1:16" s="342" customFormat="1">
      <c r="A80" s="370"/>
      <c r="B80" s="370"/>
      <c r="C80" s="370"/>
      <c r="D80" s="370"/>
      <c r="E80" s="370"/>
      <c r="F80" s="370"/>
      <c r="G80" s="370"/>
      <c r="H80" s="370"/>
      <c r="I80" s="370"/>
      <c r="J80" s="370"/>
      <c r="K80" s="370"/>
      <c r="L80" s="370"/>
      <c r="M80" s="370"/>
      <c r="N80" s="370"/>
      <c r="O80" s="370"/>
      <c r="P80" s="370"/>
    </row>
    <row r="81" spans="1:16" s="342" customFormat="1">
      <c r="A81" s="370"/>
      <c r="B81" s="370"/>
      <c r="C81" s="370"/>
      <c r="D81" s="370"/>
      <c r="E81" s="370"/>
      <c r="F81" s="370"/>
      <c r="G81" s="370"/>
      <c r="H81" s="370"/>
      <c r="I81" s="370"/>
      <c r="J81" s="370"/>
      <c r="K81" s="370"/>
      <c r="L81" s="370"/>
      <c r="M81" s="370"/>
      <c r="N81" s="370"/>
      <c r="O81" s="370"/>
      <c r="P81" s="370"/>
    </row>
    <row r="82" spans="1:16" s="342" customFormat="1">
      <c r="A82" s="370"/>
      <c r="B82" s="370"/>
      <c r="C82" s="370"/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</row>
    <row r="83" spans="1:16" s="342" customFormat="1">
      <c r="A83" s="370"/>
      <c r="B83" s="370"/>
      <c r="C83" s="370"/>
      <c r="D83" s="370"/>
      <c r="E83" s="370"/>
      <c r="F83" s="370"/>
      <c r="G83" s="370"/>
      <c r="H83" s="370"/>
      <c r="I83" s="370"/>
      <c r="J83" s="370"/>
      <c r="K83" s="370"/>
      <c r="L83" s="370"/>
      <c r="M83" s="370"/>
      <c r="N83" s="370"/>
      <c r="O83" s="370"/>
      <c r="P83" s="370"/>
    </row>
    <row r="84" spans="1:16" s="342" customFormat="1">
      <c r="A84" s="370"/>
      <c r="B84" s="370"/>
      <c r="C84" s="370"/>
      <c r="D84" s="370"/>
      <c r="E84" s="370"/>
      <c r="F84" s="370"/>
      <c r="G84" s="370"/>
      <c r="H84" s="370"/>
      <c r="I84" s="370"/>
      <c r="J84" s="370"/>
      <c r="K84" s="370"/>
      <c r="L84" s="370"/>
      <c r="M84" s="370"/>
      <c r="N84" s="370"/>
      <c r="O84" s="370"/>
      <c r="P84" s="370"/>
    </row>
    <row r="85" spans="1:16" s="342" customFormat="1">
      <c r="A85" s="370"/>
      <c r="B85" s="370"/>
      <c r="C85" s="370"/>
      <c r="D85" s="370"/>
      <c r="E85" s="370"/>
      <c r="F85" s="370"/>
      <c r="G85" s="370"/>
      <c r="H85" s="370"/>
      <c r="I85" s="370"/>
      <c r="J85" s="370"/>
      <c r="K85" s="370"/>
      <c r="L85" s="370"/>
      <c r="M85" s="370"/>
      <c r="N85" s="370"/>
      <c r="O85" s="370"/>
      <c r="P85" s="370"/>
    </row>
    <row r="86" spans="1:16" s="342" customFormat="1">
      <c r="A86" s="370"/>
      <c r="B86" s="370"/>
      <c r="C86" s="370"/>
      <c r="D86" s="370"/>
      <c r="E86" s="370"/>
      <c r="F86" s="370"/>
      <c r="G86" s="370"/>
      <c r="H86" s="370"/>
      <c r="I86" s="370"/>
      <c r="J86" s="370"/>
      <c r="K86" s="370"/>
      <c r="L86" s="370"/>
      <c r="M86" s="370"/>
      <c r="N86" s="370"/>
      <c r="O86" s="370"/>
      <c r="P86" s="370"/>
    </row>
    <row r="87" spans="1:16" s="342" customFormat="1">
      <c r="A87" s="370"/>
      <c r="B87" s="370"/>
      <c r="C87" s="370"/>
      <c r="D87" s="370"/>
      <c r="E87" s="370"/>
      <c r="F87" s="370"/>
      <c r="G87" s="370"/>
      <c r="H87" s="370"/>
      <c r="I87" s="370"/>
      <c r="J87" s="370"/>
      <c r="K87" s="370"/>
      <c r="L87" s="370"/>
      <c r="M87" s="370"/>
      <c r="N87" s="370"/>
      <c r="O87" s="370"/>
      <c r="P87" s="370"/>
    </row>
    <row r="88" spans="1:16" s="342" customFormat="1">
      <c r="A88" s="370"/>
      <c r="B88" s="370"/>
      <c r="C88" s="370"/>
      <c r="D88" s="370"/>
      <c r="E88" s="370"/>
      <c r="F88" s="370"/>
      <c r="G88" s="370"/>
      <c r="H88" s="370"/>
      <c r="I88" s="370"/>
      <c r="J88" s="370"/>
      <c r="K88" s="370"/>
      <c r="L88" s="370"/>
      <c r="M88" s="370"/>
      <c r="N88" s="370"/>
      <c r="O88" s="370"/>
      <c r="P88" s="370"/>
    </row>
    <row r="89" spans="1:16" s="342" customFormat="1">
      <c r="A89" s="370"/>
      <c r="B89" s="370"/>
      <c r="C89" s="370"/>
      <c r="D89" s="370"/>
      <c r="E89" s="370"/>
      <c r="F89" s="370"/>
      <c r="G89" s="370"/>
      <c r="H89" s="370"/>
      <c r="I89" s="370"/>
      <c r="J89" s="370"/>
      <c r="K89" s="370"/>
      <c r="L89" s="370"/>
      <c r="M89" s="370"/>
      <c r="N89" s="370"/>
      <c r="O89" s="370"/>
      <c r="P89" s="370"/>
    </row>
    <row r="90" spans="1:16" s="342" customFormat="1">
      <c r="A90" s="370"/>
      <c r="B90" s="370"/>
      <c r="C90" s="370"/>
      <c r="D90" s="370"/>
      <c r="E90" s="370"/>
      <c r="F90" s="370"/>
      <c r="G90" s="370"/>
      <c r="H90" s="370"/>
      <c r="I90" s="370"/>
      <c r="J90" s="370"/>
      <c r="K90" s="370"/>
      <c r="L90" s="370"/>
      <c r="M90" s="370"/>
      <c r="N90" s="370"/>
      <c r="O90" s="370"/>
      <c r="P90" s="370"/>
    </row>
    <row r="91" spans="1:16" s="342" customFormat="1">
      <c r="A91" s="370"/>
      <c r="B91" s="370"/>
      <c r="C91" s="370"/>
      <c r="D91" s="370"/>
      <c r="E91" s="370"/>
      <c r="F91" s="370"/>
      <c r="G91" s="370"/>
      <c r="H91" s="370"/>
      <c r="I91" s="370"/>
      <c r="J91" s="370"/>
      <c r="K91" s="370"/>
      <c r="L91" s="370"/>
      <c r="M91" s="370"/>
      <c r="N91" s="370"/>
      <c r="O91" s="370"/>
      <c r="P91" s="370"/>
    </row>
    <row r="92" spans="1:16" s="342" customFormat="1">
      <c r="A92" s="370"/>
      <c r="B92" s="370"/>
      <c r="C92" s="370"/>
      <c r="D92" s="370"/>
      <c r="E92" s="370"/>
      <c r="F92" s="370"/>
      <c r="G92" s="370"/>
      <c r="H92" s="370"/>
      <c r="I92" s="370"/>
      <c r="J92" s="370"/>
      <c r="K92" s="370"/>
      <c r="L92" s="370"/>
      <c r="M92" s="370"/>
      <c r="N92" s="370"/>
      <c r="O92" s="370"/>
      <c r="P92" s="370"/>
    </row>
    <row r="93" spans="1:16" s="342" customFormat="1">
      <c r="A93" s="370"/>
      <c r="B93" s="370"/>
      <c r="C93" s="370"/>
      <c r="D93" s="370"/>
      <c r="E93" s="370"/>
      <c r="F93" s="370"/>
      <c r="G93" s="370"/>
      <c r="H93" s="370"/>
      <c r="I93" s="370"/>
      <c r="J93" s="370"/>
      <c r="K93" s="370"/>
      <c r="L93" s="370"/>
      <c r="M93" s="370"/>
      <c r="N93" s="370"/>
      <c r="O93" s="370"/>
      <c r="P93" s="370"/>
    </row>
    <row r="94" spans="1:16" s="342" customFormat="1">
      <c r="A94" s="370"/>
      <c r="B94" s="370"/>
      <c r="C94" s="370"/>
      <c r="D94" s="370"/>
      <c r="E94" s="370"/>
      <c r="F94" s="370"/>
      <c r="G94" s="370"/>
      <c r="H94" s="370"/>
      <c r="I94" s="370"/>
      <c r="J94" s="370"/>
      <c r="K94" s="370"/>
      <c r="L94" s="370"/>
      <c r="M94" s="370"/>
      <c r="N94" s="370"/>
      <c r="O94" s="370"/>
      <c r="P94" s="370"/>
    </row>
    <row r="95" spans="1:16" s="342" customFormat="1">
      <c r="A95" s="370"/>
      <c r="B95" s="370"/>
      <c r="C95" s="370"/>
      <c r="D95" s="370"/>
      <c r="E95" s="370"/>
      <c r="F95" s="370"/>
      <c r="G95" s="370"/>
      <c r="H95" s="370"/>
      <c r="I95" s="370"/>
      <c r="J95" s="370"/>
      <c r="K95" s="370"/>
      <c r="L95" s="370"/>
      <c r="M95" s="370"/>
      <c r="N95" s="370"/>
      <c r="O95" s="370"/>
      <c r="P95" s="370"/>
    </row>
    <row r="96" spans="1:16" s="342" customFormat="1">
      <c r="A96" s="370"/>
      <c r="B96" s="370"/>
      <c r="C96" s="370"/>
      <c r="D96" s="370"/>
      <c r="E96" s="370"/>
      <c r="F96" s="370"/>
      <c r="G96" s="370"/>
      <c r="H96" s="370"/>
      <c r="I96" s="370"/>
      <c r="J96" s="370"/>
      <c r="K96" s="370"/>
      <c r="L96" s="370"/>
      <c r="M96" s="370"/>
      <c r="N96" s="370"/>
      <c r="O96" s="370"/>
      <c r="P96" s="370"/>
    </row>
    <row r="97" spans="1:16" s="342" customFormat="1">
      <c r="A97" s="370"/>
      <c r="B97" s="370"/>
      <c r="C97" s="370"/>
      <c r="D97" s="370"/>
      <c r="E97" s="370"/>
      <c r="F97" s="370"/>
      <c r="G97" s="370"/>
      <c r="H97" s="370"/>
      <c r="I97" s="370"/>
      <c r="J97" s="370"/>
      <c r="K97" s="370"/>
      <c r="L97" s="370"/>
      <c r="M97" s="370"/>
      <c r="N97" s="370"/>
      <c r="O97" s="370"/>
      <c r="P97" s="370"/>
    </row>
    <row r="98" spans="1:16" s="342" customFormat="1">
      <c r="A98" s="370"/>
      <c r="B98" s="370"/>
      <c r="C98" s="370"/>
      <c r="D98" s="370"/>
      <c r="E98" s="370"/>
      <c r="F98" s="370"/>
      <c r="G98" s="370"/>
      <c r="H98" s="370"/>
      <c r="I98" s="370"/>
      <c r="J98" s="370"/>
      <c r="K98" s="370"/>
      <c r="L98" s="370"/>
      <c r="M98" s="370"/>
      <c r="N98" s="370"/>
      <c r="O98" s="370"/>
      <c r="P98" s="370"/>
    </row>
    <row r="99" spans="1:16" s="342" customFormat="1">
      <c r="A99" s="370"/>
      <c r="B99" s="370"/>
      <c r="C99" s="370"/>
      <c r="D99" s="370"/>
      <c r="E99" s="370"/>
      <c r="F99" s="370"/>
      <c r="G99" s="370"/>
      <c r="H99" s="370"/>
      <c r="I99" s="370"/>
      <c r="J99" s="370"/>
      <c r="K99" s="370"/>
      <c r="L99" s="370"/>
      <c r="M99" s="370"/>
      <c r="N99" s="370"/>
      <c r="O99" s="370"/>
      <c r="P99" s="370"/>
    </row>
    <row r="100" spans="1:16" s="342" customFormat="1">
      <c r="A100" s="370"/>
      <c r="B100" s="370"/>
      <c r="C100" s="370"/>
      <c r="D100" s="370"/>
      <c r="E100" s="370"/>
      <c r="F100" s="370"/>
      <c r="G100" s="370"/>
      <c r="H100" s="370"/>
      <c r="I100" s="370"/>
      <c r="J100" s="370"/>
      <c r="K100" s="370"/>
      <c r="L100" s="370"/>
      <c r="M100" s="370"/>
      <c r="N100" s="370"/>
      <c r="O100" s="370"/>
      <c r="P100" s="370"/>
    </row>
    <row r="101" spans="1:16" s="342" customFormat="1">
      <c r="A101" s="370"/>
      <c r="B101" s="370"/>
      <c r="C101" s="370"/>
      <c r="D101" s="370"/>
      <c r="E101" s="370"/>
      <c r="F101" s="370"/>
      <c r="G101" s="370"/>
      <c r="H101" s="370"/>
      <c r="I101" s="370"/>
      <c r="J101" s="370"/>
      <c r="K101" s="370"/>
      <c r="L101" s="370"/>
      <c r="M101" s="370"/>
      <c r="N101" s="370"/>
      <c r="O101" s="370"/>
      <c r="P101" s="370"/>
    </row>
    <row r="102" spans="1:16" s="342" customFormat="1">
      <c r="A102" s="370"/>
      <c r="B102" s="370"/>
      <c r="C102" s="370"/>
      <c r="D102" s="370"/>
      <c r="E102" s="370"/>
      <c r="F102" s="370"/>
      <c r="G102" s="370"/>
      <c r="H102" s="370"/>
      <c r="I102" s="370"/>
      <c r="J102" s="370"/>
      <c r="K102" s="370"/>
      <c r="L102" s="370"/>
      <c r="M102" s="370"/>
      <c r="N102" s="370"/>
      <c r="O102" s="370"/>
      <c r="P102" s="370"/>
    </row>
    <row r="103" spans="1:16" s="342" customFormat="1">
      <c r="A103" s="370"/>
      <c r="B103" s="370"/>
      <c r="C103" s="370"/>
      <c r="D103" s="370"/>
      <c r="E103" s="370"/>
      <c r="F103" s="370"/>
      <c r="G103" s="370"/>
      <c r="H103" s="370"/>
      <c r="I103" s="370"/>
      <c r="J103" s="370"/>
      <c r="K103" s="370"/>
      <c r="L103" s="370"/>
      <c r="M103" s="370"/>
      <c r="N103" s="370"/>
      <c r="O103" s="370"/>
      <c r="P103" s="370"/>
    </row>
    <row r="104" spans="1:16" s="342" customFormat="1">
      <c r="A104" s="370"/>
      <c r="B104" s="370"/>
      <c r="C104" s="370"/>
      <c r="D104" s="370"/>
      <c r="E104" s="370"/>
      <c r="F104" s="370"/>
      <c r="G104" s="370"/>
      <c r="H104" s="370"/>
      <c r="I104" s="370"/>
      <c r="J104" s="370"/>
      <c r="K104" s="370"/>
      <c r="L104" s="370"/>
      <c r="M104" s="370"/>
      <c r="N104" s="370"/>
      <c r="O104" s="370"/>
      <c r="P104" s="370"/>
    </row>
    <row r="105" spans="1:16" s="342" customFormat="1">
      <c r="A105" s="370"/>
      <c r="B105" s="370"/>
      <c r="C105" s="370"/>
      <c r="D105" s="370"/>
      <c r="E105" s="370"/>
      <c r="F105" s="370"/>
      <c r="G105" s="370"/>
      <c r="H105" s="370"/>
      <c r="I105" s="370"/>
      <c r="J105" s="370"/>
      <c r="K105" s="370"/>
      <c r="L105" s="370"/>
      <c r="M105" s="370"/>
      <c r="N105" s="370"/>
      <c r="O105" s="370"/>
      <c r="P105" s="370"/>
    </row>
    <row r="106" spans="1:16" s="342" customFormat="1">
      <c r="A106" s="370"/>
      <c r="B106" s="370"/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</row>
    <row r="107" spans="1:16" s="342" customFormat="1">
      <c r="A107" s="370"/>
      <c r="B107" s="370"/>
      <c r="C107" s="370"/>
      <c r="D107" s="370"/>
      <c r="E107" s="370"/>
      <c r="F107" s="370"/>
      <c r="G107" s="370"/>
      <c r="H107" s="370"/>
      <c r="I107" s="370"/>
      <c r="J107" s="370"/>
      <c r="K107" s="370"/>
      <c r="L107" s="370"/>
      <c r="M107" s="370"/>
      <c r="N107" s="370"/>
      <c r="O107" s="370"/>
      <c r="P107" s="370"/>
    </row>
    <row r="108" spans="1:16" s="342" customFormat="1">
      <c r="A108" s="370"/>
      <c r="B108" s="370"/>
      <c r="C108" s="370"/>
      <c r="D108" s="370"/>
      <c r="E108" s="370"/>
      <c r="F108" s="370"/>
      <c r="G108" s="370"/>
      <c r="H108" s="370"/>
      <c r="I108" s="370"/>
      <c r="J108" s="370"/>
      <c r="K108" s="370"/>
      <c r="L108" s="370"/>
      <c r="M108" s="370"/>
      <c r="N108" s="370"/>
      <c r="O108" s="370"/>
      <c r="P108" s="370"/>
    </row>
    <row r="109" spans="1:16" s="342" customFormat="1">
      <c r="A109" s="370"/>
      <c r="B109" s="370"/>
      <c r="C109" s="370"/>
      <c r="D109" s="370"/>
      <c r="E109" s="370"/>
      <c r="F109" s="370"/>
      <c r="G109" s="370"/>
      <c r="H109" s="370"/>
      <c r="I109" s="370"/>
      <c r="J109" s="370"/>
      <c r="K109" s="370"/>
      <c r="L109" s="370"/>
      <c r="M109" s="370"/>
      <c r="N109" s="370"/>
      <c r="O109" s="370"/>
      <c r="P109" s="370"/>
    </row>
    <row r="110" spans="1:16" s="342" customFormat="1">
      <c r="A110" s="370"/>
      <c r="B110" s="370"/>
      <c r="C110" s="370"/>
      <c r="D110" s="370"/>
      <c r="E110" s="370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</row>
    <row r="111" spans="1:16" s="342" customFormat="1">
      <c r="A111" s="370"/>
      <c r="B111" s="370"/>
      <c r="C111" s="370"/>
      <c r="D111" s="370"/>
      <c r="E111" s="370"/>
      <c r="F111" s="370"/>
      <c r="G111" s="370"/>
      <c r="H111" s="370"/>
      <c r="I111" s="370"/>
      <c r="J111" s="370"/>
      <c r="K111" s="370"/>
      <c r="L111" s="370"/>
      <c r="M111" s="370"/>
      <c r="N111" s="370"/>
      <c r="O111" s="370"/>
      <c r="P111" s="370"/>
    </row>
    <row r="112" spans="1:16" s="342" customFormat="1">
      <c r="A112" s="370"/>
      <c r="B112" s="370"/>
      <c r="C112" s="370"/>
      <c r="D112" s="370"/>
      <c r="E112" s="370"/>
      <c r="F112" s="370"/>
      <c r="G112" s="370"/>
      <c r="H112" s="370"/>
      <c r="I112" s="370"/>
      <c r="J112" s="370"/>
      <c r="K112" s="370"/>
      <c r="L112" s="370"/>
      <c r="M112" s="370"/>
      <c r="N112" s="370"/>
      <c r="O112" s="370"/>
      <c r="P112" s="370"/>
    </row>
    <row r="113" spans="1:16" s="342" customFormat="1">
      <c r="A113" s="370"/>
      <c r="B113" s="370"/>
      <c r="C113" s="370"/>
      <c r="D113" s="370"/>
      <c r="E113" s="370"/>
      <c r="F113" s="370"/>
      <c r="G113" s="370"/>
      <c r="H113" s="370"/>
      <c r="I113" s="370"/>
      <c r="J113" s="370"/>
      <c r="K113" s="370"/>
      <c r="L113" s="370"/>
      <c r="M113" s="370"/>
      <c r="N113" s="370"/>
      <c r="O113" s="370"/>
      <c r="P113" s="370"/>
    </row>
    <row r="114" spans="1:16" s="342" customFormat="1">
      <c r="A114" s="370"/>
      <c r="B114" s="370"/>
      <c r="C114" s="370"/>
      <c r="D114" s="370"/>
      <c r="E114" s="370"/>
      <c r="F114" s="370"/>
      <c r="G114" s="370"/>
      <c r="H114" s="370"/>
      <c r="I114" s="370"/>
      <c r="J114" s="370"/>
      <c r="K114" s="370"/>
      <c r="L114" s="370"/>
      <c r="M114" s="370"/>
      <c r="N114" s="370"/>
      <c r="O114" s="370"/>
      <c r="P114" s="370"/>
    </row>
    <row r="115" spans="1:16" s="342" customFormat="1">
      <c r="A115" s="370"/>
      <c r="B115" s="370"/>
      <c r="C115" s="370"/>
      <c r="D115" s="370"/>
      <c r="E115" s="370"/>
      <c r="F115" s="370"/>
      <c r="G115" s="370"/>
      <c r="H115" s="370"/>
      <c r="I115" s="370"/>
      <c r="J115" s="370"/>
      <c r="K115" s="370"/>
      <c r="L115" s="370"/>
      <c r="M115" s="370"/>
      <c r="N115" s="370"/>
      <c r="O115" s="370"/>
      <c r="P115" s="370"/>
    </row>
    <row r="116" spans="1:16" s="342" customFormat="1">
      <c r="A116" s="370"/>
      <c r="B116" s="370"/>
      <c r="C116" s="370"/>
      <c r="D116" s="370"/>
      <c r="E116" s="370"/>
      <c r="F116" s="370"/>
      <c r="G116" s="370"/>
      <c r="H116" s="370"/>
      <c r="I116" s="370"/>
      <c r="J116" s="370"/>
      <c r="K116" s="370"/>
      <c r="L116" s="370"/>
      <c r="M116" s="370"/>
      <c r="N116" s="370"/>
      <c r="O116" s="370"/>
      <c r="P116" s="370"/>
    </row>
    <row r="117" spans="1:16" s="342" customFormat="1">
      <c r="A117" s="370"/>
      <c r="B117" s="370"/>
      <c r="C117" s="370"/>
      <c r="D117" s="370"/>
      <c r="E117" s="370"/>
      <c r="F117" s="370"/>
      <c r="G117" s="370"/>
      <c r="H117" s="370"/>
      <c r="I117" s="370"/>
      <c r="J117" s="370"/>
      <c r="K117" s="370"/>
      <c r="L117" s="370"/>
      <c r="M117" s="370"/>
      <c r="N117" s="370"/>
      <c r="O117" s="370"/>
      <c r="P117" s="370"/>
    </row>
    <row r="118" spans="1:16" s="342" customFormat="1">
      <c r="A118" s="370"/>
      <c r="B118" s="370"/>
      <c r="C118" s="370"/>
      <c r="D118" s="370"/>
      <c r="E118" s="370"/>
      <c r="F118" s="370"/>
      <c r="G118" s="370"/>
      <c r="H118" s="370"/>
      <c r="I118" s="370"/>
      <c r="J118" s="370"/>
      <c r="K118" s="370"/>
      <c r="L118" s="370"/>
      <c r="M118" s="370"/>
      <c r="N118" s="370"/>
      <c r="O118" s="370"/>
      <c r="P118" s="370"/>
    </row>
    <row r="119" spans="1:16" s="342" customFormat="1">
      <c r="A119" s="370"/>
      <c r="B119" s="370"/>
      <c r="C119" s="370"/>
      <c r="D119" s="370"/>
      <c r="E119" s="370"/>
      <c r="F119" s="370"/>
      <c r="G119" s="370"/>
      <c r="H119" s="370"/>
      <c r="I119" s="370"/>
      <c r="J119" s="370"/>
      <c r="K119" s="370"/>
      <c r="L119" s="370"/>
      <c r="M119" s="370"/>
      <c r="N119" s="370"/>
      <c r="O119" s="370"/>
      <c r="P119" s="370"/>
    </row>
    <row r="120" spans="1:16" s="342" customFormat="1">
      <c r="A120" s="370"/>
      <c r="B120" s="370"/>
      <c r="C120" s="370"/>
      <c r="D120" s="370"/>
      <c r="E120" s="370"/>
      <c r="F120" s="370"/>
      <c r="G120" s="370"/>
      <c r="H120" s="370"/>
      <c r="I120" s="370"/>
      <c r="J120" s="370"/>
      <c r="K120" s="370"/>
      <c r="L120" s="370"/>
      <c r="M120" s="370"/>
      <c r="N120" s="370"/>
      <c r="O120" s="370"/>
      <c r="P120" s="370"/>
    </row>
    <row r="121" spans="1:16" s="342" customFormat="1">
      <c r="A121" s="370"/>
      <c r="B121" s="370"/>
      <c r="C121" s="370"/>
      <c r="D121" s="370"/>
      <c r="E121" s="370"/>
      <c r="F121" s="370"/>
      <c r="G121" s="370"/>
      <c r="H121" s="370"/>
      <c r="I121" s="370"/>
      <c r="J121" s="370"/>
      <c r="K121" s="370"/>
      <c r="L121" s="370"/>
      <c r="M121" s="370"/>
      <c r="N121" s="370"/>
      <c r="O121" s="370"/>
      <c r="P121" s="370"/>
    </row>
    <row r="122" spans="1:16" s="342" customFormat="1">
      <c r="A122" s="370"/>
      <c r="B122" s="370"/>
      <c r="C122" s="370"/>
      <c r="D122" s="370"/>
      <c r="E122" s="370"/>
      <c r="F122" s="370"/>
      <c r="G122" s="370"/>
      <c r="H122" s="370"/>
      <c r="I122" s="370"/>
      <c r="J122" s="370"/>
      <c r="K122" s="370"/>
      <c r="L122" s="370"/>
      <c r="M122" s="370"/>
      <c r="N122" s="370"/>
      <c r="O122" s="370"/>
      <c r="P122" s="370"/>
    </row>
    <row r="123" spans="1:16" s="342" customFormat="1">
      <c r="A123" s="370"/>
      <c r="B123" s="370"/>
      <c r="C123" s="370"/>
      <c r="D123" s="370"/>
      <c r="E123" s="370"/>
      <c r="F123" s="370"/>
      <c r="G123" s="370"/>
      <c r="H123" s="370"/>
      <c r="I123" s="370"/>
      <c r="J123" s="370"/>
      <c r="K123" s="370"/>
      <c r="L123" s="370"/>
      <c r="M123" s="370"/>
      <c r="N123" s="370"/>
      <c r="O123" s="370"/>
      <c r="P123" s="370"/>
    </row>
    <row r="124" spans="1:16" s="342" customFormat="1">
      <c r="A124" s="370"/>
      <c r="B124" s="370"/>
      <c r="C124" s="370"/>
      <c r="D124" s="370"/>
      <c r="E124" s="370"/>
      <c r="F124" s="370"/>
      <c r="G124" s="370"/>
      <c r="H124" s="370"/>
      <c r="I124" s="370"/>
      <c r="J124" s="370"/>
      <c r="K124" s="370"/>
      <c r="L124" s="370"/>
      <c r="M124" s="370"/>
      <c r="N124" s="370"/>
      <c r="O124" s="370"/>
      <c r="P124" s="370"/>
    </row>
    <row r="125" spans="1:16" s="342" customFormat="1">
      <c r="A125" s="370"/>
      <c r="B125" s="370"/>
      <c r="C125" s="370"/>
      <c r="D125" s="370"/>
      <c r="E125" s="370"/>
      <c r="F125" s="370"/>
      <c r="G125" s="370"/>
      <c r="H125" s="370"/>
      <c r="I125" s="370"/>
      <c r="J125" s="370"/>
      <c r="K125" s="370"/>
      <c r="L125" s="370"/>
      <c r="M125" s="370"/>
      <c r="N125" s="370"/>
      <c r="O125" s="370"/>
      <c r="P125" s="370"/>
    </row>
    <row r="126" spans="1:16" s="342" customFormat="1">
      <c r="A126" s="370"/>
      <c r="B126" s="370"/>
      <c r="C126" s="370"/>
      <c r="D126" s="370"/>
      <c r="E126" s="370"/>
      <c r="F126" s="370"/>
      <c r="G126" s="370"/>
      <c r="H126" s="370"/>
      <c r="I126" s="370"/>
      <c r="J126" s="370"/>
      <c r="K126" s="370"/>
      <c r="L126" s="370"/>
      <c r="M126" s="370"/>
      <c r="N126" s="370"/>
      <c r="O126" s="370"/>
      <c r="P126" s="370"/>
    </row>
    <row r="127" spans="1:16" s="342" customFormat="1">
      <c r="A127" s="370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</row>
    <row r="128" spans="1:16" s="342" customFormat="1">
      <c r="A128" s="370"/>
      <c r="B128" s="370"/>
      <c r="C128" s="370"/>
      <c r="D128" s="370"/>
      <c r="E128" s="370"/>
      <c r="F128" s="370"/>
      <c r="G128" s="370"/>
      <c r="H128" s="370"/>
      <c r="I128" s="370"/>
      <c r="J128" s="370"/>
      <c r="K128" s="370"/>
      <c r="L128" s="370"/>
      <c r="M128" s="370"/>
      <c r="N128" s="370"/>
      <c r="O128" s="370"/>
      <c r="P128" s="370"/>
    </row>
    <row r="129" spans="1:16" s="342" customFormat="1">
      <c r="A129" s="370"/>
      <c r="B129" s="370"/>
      <c r="C129" s="370"/>
      <c r="D129" s="370"/>
      <c r="E129" s="370"/>
      <c r="F129" s="370"/>
      <c r="G129" s="370"/>
      <c r="H129" s="370"/>
      <c r="I129" s="370"/>
      <c r="J129" s="370"/>
      <c r="K129" s="370"/>
      <c r="L129" s="370"/>
      <c r="M129" s="370"/>
      <c r="N129" s="370"/>
      <c r="O129" s="370"/>
      <c r="P129" s="370"/>
    </row>
    <row r="130" spans="1:16" s="342" customFormat="1">
      <c r="A130" s="370"/>
      <c r="B130" s="370"/>
      <c r="C130" s="370"/>
      <c r="D130" s="370"/>
      <c r="E130" s="370"/>
      <c r="F130" s="370"/>
      <c r="G130" s="370"/>
      <c r="H130" s="370"/>
      <c r="I130" s="370"/>
      <c r="J130" s="370"/>
      <c r="K130" s="370"/>
      <c r="L130" s="370"/>
      <c r="M130" s="370"/>
      <c r="N130" s="370"/>
      <c r="O130" s="370"/>
      <c r="P130" s="370"/>
    </row>
    <row r="131" spans="1:16" s="342" customFormat="1">
      <c r="A131" s="370"/>
      <c r="B131" s="370"/>
      <c r="C131" s="370"/>
      <c r="D131" s="370"/>
      <c r="E131" s="370"/>
      <c r="F131" s="370"/>
      <c r="G131" s="370"/>
      <c r="H131" s="370"/>
      <c r="I131" s="370"/>
      <c r="J131" s="370"/>
      <c r="K131" s="370"/>
      <c r="L131" s="370"/>
      <c r="M131" s="370"/>
      <c r="N131" s="370"/>
      <c r="O131" s="370"/>
      <c r="P131" s="370"/>
    </row>
    <row r="132" spans="1:16" s="342" customFormat="1">
      <c r="A132" s="370"/>
      <c r="B132" s="370"/>
      <c r="C132" s="370"/>
      <c r="D132" s="370"/>
      <c r="E132" s="370"/>
      <c r="F132" s="370"/>
      <c r="G132" s="370"/>
      <c r="H132" s="370"/>
      <c r="I132" s="370"/>
      <c r="J132" s="370"/>
      <c r="K132" s="370"/>
      <c r="L132" s="370"/>
      <c r="M132" s="370"/>
      <c r="N132" s="370"/>
      <c r="O132" s="370"/>
      <c r="P132" s="370"/>
    </row>
    <row r="133" spans="1:16" s="342" customFormat="1">
      <c r="A133" s="370"/>
      <c r="B133" s="370"/>
      <c r="C133" s="370"/>
      <c r="D133" s="370"/>
      <c r="E133" s="370"/>
      <c r="F133" s="370"/>
      <c r="G133" s="370"/>
      <c r="H133" s="370"/>
      <c r="I133" s="370"/>
      <c r="J133" s="370"/>
      <c r="K133" s="370"/>
      <c r="L133" s="370"/>
      <c r="M133" s="370"/>
      <c r="N133" s="370"/>
      <c r="O133" s="370"/>
      <c r="P133" s="370"/>
    </row>
    <row r="134" spans="1:16" s="342" customFormat="1">
      <c r="A134" s="370"/>
      <c r="B134" s="370"/>
      <c r="C134" s="370"/>
      <c r="D134" s="370"/>
      <c r="E134" s="370"/>
      <c r="F134" s="370"/>
      <c r="G134" s="370"/>
      <c r="H134" s="370"/>
      <c r="I134" s="370"/>
      <c r="J134" s="370"/>
      <c r="K134" s="370"/>
      <c r="L134" s="370"/>
      <c r="M134" s="370"/>
      <c r="N134" s="370"/>
      <c r="O134" s="370"/>
      <c r="P134" s="370"/>
    </row>
    <row r="135" spans="1:16" s="342" customFormat="1">
      <c r="A135" s="370"/>
      <c r="B135" s="370"/>
      <c r="C135" s="370"/>
      <c r="D135" s="370"/>
      <c r="E135" s="370"/>
      <c r="F135" s="370"/>
      <c r="G135" s="370"/>
      <c r="H135" s="370"/>
      <c r="I135" s="370"/>
      <c r="J135" s="370"/>
      <c r="K135" s="370"/>
      <c r="L135" s="370"/>
      <c r="M135" s="370"/>
      <c r="N135" s="370"/>
      <c r="O135" s="370"/>
      <c r="P135" s="370"/>
    </row>
    <row r="136" spans="1:16" s="342" customFormat="1">
      <c r="A136" s="370"/>
      <c r="B136" s="370"/>
      <c r="C136" s="370"/>
      <c r="D136" s="370"/>
      <c r="E136" s="370"/>
      <c r="F136" s="370"/>
      <c r="G136" s="370"/>
      <c r="H136" s="370"/>
      <c r="I136" s="370"/>
      <c r="J136" s="370"/>
      <c r="K136" s="370"/>
      <c r="L136" s="370"/>
      <c r="M136" s="370"/>
      <c r="N136" s="370"/>
      <c r="O136" s="370"/>
      <c r="P136" s="370"/>
    </row>
    <row r="137" spans="1:16" s="342" customFormat="1">
      <c r="A137" s="370"/>
      <c r="B137" s="370"/>
      <c r="C137" s="370"/>
      <c r="D137" s="370"/>
      <c r="E137" s="370"/>
      <c r="F137" s="370"/>
      <c r="G137" s="370"/>
      <c r="H137" s="370"/>
      <c r="I137" s="370"/>
      <c r="J137" s="370"/>
      <c r="K137" s="370"/>
      <c r="L137" s="370"/>
      <c r="M137" s="370"/>
      <c r="N137" s="370"/>
      <c r="O137" s="370"/>
      <c r="P137" s="370"/>
    </row>
    <row r="138" spans="1:16" s="342" customFormat="1">
      <c r="A138" s="370"/>
      <c r="B138" s="370"/>
      <c r="C138" s="370"/>
      <c r="D138" s="370"/>
      <c r="E138" s="370"/>
      <c r="F138" s="370"/>
      <c r="G138" s="370"/>
      <c r="H138" s="370"/>
      <c r="I138" s="370"/>
      <c r="J138" s="370"/>
      <c r="K138" s="370"/>
      <c r="L138" s="370"/>
      <c r="M138" s="370"/>
      <c r="N138" s="370"/>
      <c r="O138" s="370"/>
      <c r="P138" s="370"/>
    </row>
    <row r="139" spans="1:16" s="342" customFormat="1">
      <c r="A139" s="370"/>
      <c r="B139" s="370"/>
      <c r="C139" s="370"/>
      <c r="D139" s="370"/>
      <c r="E139" s="370"/>
      <c r="F139" s="370"/>
      <c r="G139" s="370"/>
      <c r="H139" s="370"/>
      <c r="I139" s="370"/>
      <c r="J139" s="370"/>
      <c r="K139" s="370"/>
      <c r="L139" s="370"/>
      <c r="M139" s="370"/>
      <c r="N139" s="370"/>
      <c r="O139" s="370"/>
      <c r="P139" s="370"/>
    </row>
    <row r="140" spans="1:16" s="342" customFormat="1">
      <c r="A140" s="370"/>
      <c r="B140" s="370"/>
      <c r="C140" s="370"/>
      <c r="D140" s="370"/>
      <c r="E140" s="370"/>
      <c r="F140" s="370"/>
      <c r="G140" s="370"/>
      <c r="H140" s="370"/>
      <c r="I140" s="370"/>
      <c r="J140" s="370"/>
      <c r="K140" s="370"/>
      <c r="L140" s="370"/>
      <c r="M140" s="370"/>
      <c r="N140" s="370"/>
      <c r="O140" s="370"/>
      <c r="P140" s="370"/>
    </row>
    <row r="141" spans="1:16" s="342" customFormat="1">
      <c r="A141" s="370"/>
      <c r="B141" s="370"/>
      <c r="C141" s="370"/>
      <c r="D141" s="370"/>
      <c r="E141" s="370"/>
      <c r="F141" s="370"/>
      <c r="G141" s="370"/>
      <c r="H141" s="370"/>
      <c r="I141" s="370"/>
      <c r="J141" s="370"/>
      <c r="K141" s="370"/>
      <c r="L141" s="370"/>
      <c r="M141" s="370"/>
      <c r="N141" s="370"/>
      <c r="O141" s="370"/>
      <c r="P141" s="370"/>
    </row>
    <row r="142" spans="1:16" s="342" customFormat="1">
      <c r="A142" s="370"/>
      <c r="B142" s="370"/>
      <c r="C142" s="370"/>
      <c r="D142" s="370"/>
      <c r="E142" s="370"/>
      <c r="F142" s="370"/>
      <c r="G142" s="370"/>
      <c r="H142" s="370"/>
      <c r="I142" s="370"/>
      <c r="J142" s="370"/>
      <c r="K142" s="370"/>
      <c r="L142" s="370"/>
      <c r="M142" s="370"/>
      <c r="N142" s="370"/>
      <c r="O142" s="370"/>
      <c r="P142" s="370"/>
    </row>
    <row r="143" spans="1:16" s="342" customFormat="1">
      <c r="A143" s="370"/>
      <c r="B143" s="370"/>
      <c r="C143" s="370"/>
      <c r="D143" s="370"/>
      <c r="E143" s="370"/>
      <c r="F143" s="370"/>
      <c r="G143" s="370"/>
      <c r="H143" s="370"/>
      <c r="I143" s="370"/>
      <c r="J143" s="370"/>
      <c r="K143" s="370"/>
      <c r="L143" s="370"/>
      <c r="M143" s="370"/>
      <c r="N143" s="370"/>
      <c r="O143" s="370"/>
      <c r="P143" s="370"/>
    </row>
    <row r="144" spans="1:16" s="342" customFormat="1">
      <c r="A144" s="370"/>
      <c r="B144" s="370"/>
      <c r="C144" s="370"/>
      <c r="D144" s="370"/>
      <c r="E144" s="370"/>
      <c r="F144" s="370"/>
      <c r="G144" s="370"/>
      <c r="H144" s="370"/>
      <c r="I144" s="370"/>
      <c r="J144" s="370"/>
      <c r="K144" s="370"/>
      <c r="L144" s="370"/>
      <c r="M144" s="370"/>
      <c r="N144" s="370"/>
      <c r="O144" s="370"/>
      <c r="P144" s="370"/>
    </row>
    <row r="145" spans="1:16" s="342" customFormat="1">
      <c r="A145" s="370"/>
      <c r="B145" s="370"/>
      <c r="C145" s="370"/>
      <c r="D145" s="370"/>
      <c r="E145" s="370"/>
      <c r="F145" s="370"/>
      <c r="G145" s="370"/>
      <c r="H145" s="370"/>
      <c r="I145" s="370"/>
      <c r="J145" s="370"/>
      <c r="K145" s="370"/>
      <c r="L145" s="370"/>
      <c r="M145" s="370"/>
      <c r="N145" s="370"/>
      <c r="O145" s="370"/>
      <c r="P145" s="370"/>
    </row>
    <row r="146" spans="1:16" s="342" customFormat="1">
      <c r="A146" s="370"/>
      <c r="B146" s="370"/>
      <c r="C146" s="370"/>
      <c r="D146" s="370"/>
      <c r="E146" s="370"/>
      <c r="F146" s="370"/>
      <c r="G146" s="370"/>
      <c r="H146" s="370"/>
      <c r="I146" s="370"/>
      <c r="J146" s="370"/>
      <c r="K146" s="370"/>
      <c r="L146" s="370"/>
      <c r="M146" s="370"/>
      <c r="N146" s="370"/>
      <c r="O146" s="370"/>
      <c r="P146" s="370"/>
    </row>
    <row r="147" spans="1:16" s="342" customFormat="1">
      <c r="A147" s="370"/>
      <c r="B147" s="370"/>
      <c r="C147" s="370"/>
      <c r="D147" s="370"/>
      <c r="E147" s="370"/>
      <c r="F147" s="370"/>
      <c r="G147" s="370"/>
      <c r="H147" s="370"/>
      <c r="I147" s="370"/>
      <c r="J147" s="370"/>
      <c r="K147" s="370"/>
      <c r="L147" s="370"/>
      <c r="M147" s="370"/>
      <c r="N147" s="370"/>
      <c r="O147" s="370"/>
      <c r="P147" s="370"/>
    </row>
    <row r="148" spans="1:16" s="342" customFormat="1">
      <c r="A148" s="370"/>
      <c r="B148" s="370"/>
      <c r="C148" s="370"/>
      <c r="D148" s="370"/>
      <c r="E148" s="370"/>
      <c r="F148" s="370"/>
      <c r="G148" s="370"/>
      <c r="H148" s="370"/>
      <c r="I148" s="370"/>
      <c r="J148" s="370"/>
      <c r="K148" s="370"/>
      <c r="L148" s="370"/>
      <c r="M148" s="370"/>
      <c r="N148" s="370"/>
      <c r="O148" s="370"/>
      <c r="P148" s="370"/>
    </row>
    <row r="149" spans="1:16" s="342" customFormat="1">
      <c r="A149" s="370"/>
      <c r="B149" s="370"/>
      <c r="C149" s="370"/>
      <c r="D149" s="370"/>
      <c r="E149" s="370"/>
      <c r="F149" s="370"/>
      <c r="G149" s="370"/>
      <c r="H149" s="370"/>
      <c r="I149" s="370"/>
      <c r="J149" s="370"/>
      <c r="K149" s="370"/>
      <c r="L149" s="370"/>
      <c r="M149" s="370"/>
      <c r="N149" s="370"/>
      <c r="O149" s="370"/>
      <c r="P149" s="370"/>
    </row>
    <row r="150" spans="1:16" s="342" customFormat="1">
      <c r="A150" s="370"/>
      <c r="B150" s="370"/>
      <c r="C150" s="370"/>
      <c r="D150" s="370"/>
      <c r="E150" s="370"/>
      <c r="F150" s="370"/>
      <c r="G150" s="370"/>
      <c r="H150" s="370"/>
      <c r="I150" s="370"/>
      <c r="J150" s="370"/>
      <c r="K150" s="370"/>
      <c r="L150" s="370"/>
      <c r="M150" s="370"/>
      <c r="N150" s="370"/>
      <c r="O150" s="370"/>
      <c r="P150" s="370"/>
    </row>
    <row r="151" spans="1:16" s="342" customFormat="1">
      <c r="A151" s="370"/>
      <c r="B151" s="370"/>
      <c r="C151" s="370"/>
      <c r="D151" s="370"/>
      <c r="E151" s="370"/>
      <c r="F151" s="370"/>
      <c r="G151" s="370"/>
      <c r="H151" s="370"/>
      <c r="I151" s="370"/>
      <c r="J151" s="370"/>
      <c r="K151" s="370"/>
      <c r="L151" s="370"/>
      <c r="M151" s="370"/>
      <c r="N151" s="370"/>
      <c r="O151" s="370"/>
      <c r="P151" s="370"/>
    </row>
    <row r="152" spans="1:16" s="342" customFormat="1">
      <c r="A152" s="370"/>
      <c r="B152" s="370"/>
      <c r="C152" s="370"/>
      <c r="D152" s="370"/>
      <c r="E152" s="370"/>
      <c r="F152" s="370"/>
      <c r="G152" s="370"/>
      <c r="H152" s="370"/>
      <c r="I152" s="370"/>
      <c r="J152" s="370"/>
      <c r="K152" s="370"/>
      <c r="L152" s="370"/>
      <c r="M152" s="370"/>
      <c r="N152" s="370"/>
      <c r="O152" s="370"/>
      <c r="P152" s="370"/>
    </row>
    <row r="153" spans="1:16" s="342" customFormat="1">
      <c r="A153" s="370"/>
      <c r="B153" s="370"/>
      <c r="C153" s="370"/>
      <c r="D153" s="370"/>
      <c r="E153" s="370"/>
      <c r="F153" s="370"/>
      <c r="G153" s="370"/>
      <c r="H153" s="370"/>
      <c r="I153" s="370"/>
      <c r="J153" s="370"/>
      <c r="K153" s="370"/>
      <c r="L153" s="370"/>
      <c r="M153" s="370"/>
      <c r="N153" s="370"/>
      <c r="O153" s="370"/>
      <c r="P153" s="370"/>
    </row>
    <row r="154" spans="1:16" s="342" customFormat="1">
      <c r="A154" s="370"/>
      <c r="B154" s="370"/>
      <c r="C154" s="370"/>
      <c r="D154" s="370"/>
      <c r="E154" s="370"/>
      <c r="F154" s="370"/>
      <c r="G154" s="370"/>
      <c r="H154" s="370"/>
      <c r="I154" s="370"/>
      <c r="J154" s="370"/>
      <c r="K154" s="370"/>
      <c r="L154" s="370"/>
      <c r="M154" s="370"/>
      <c r="N154" s="370"/>
      <c r="O154" s="370"/>
      <c r="P154" s="370"/>
    </row>
    <row r="155" spans="1:16" s="342" customFormat="1">
      <c r="A155" s="370"/>
      <c r="B155" s="370"/>
      <c r="C155" s="370"/>
      <c r="D155" s="370"/>
      <c r="E155" s="370"/>
      <c r="F155" s="370"/>
      <c r="G155" s="370"/>
      <c r="H155" s="370"/>
      <c r="I155" s="370"/>
      <c r="J155" s="370"/>
      <c r="K155" s="370"/>
      <c r="L155" s="370"/>
      <c r="M155" s="370"/>
      <c r="N155" s="370"/>
      <c r="O155" s="370"/>
      <c r="P155" s="370"/>
    </row>
    <row r="156" spans="1:16" s="342" customFormat="1">
      <c r="A156" s="370"/>
      <c r="B156" s="370"/>
      <c r="C156" s="370"/>
      <c r="D156" s="370"/>
      <c r="E156" s="370"/>
      <c r="F156" s="370"/>
      <c r="G156" s="370"/>
      <c r="H156" s="370"/>
      <c r="I156" s="370"/>
      <c r="J156" s="370"/>
      <c r="K156" s="370"/>
      <c r="L156" s="370"/>
      <c r="M156" s="370"/>
      <c r="N156" s="370"/>
      <c r="O156" s="370"/>
      <c r="P156" s="370"/>
    </row>
    <row r="157" spans="1:16" s="342" customFormat="1">
      <c r="A157" s="370"/>
      <c r="B157" s="370"/>
      <c r="C157" s="370"/>
      <c r="D157" s="370"/>
      <c r="E157" s="370"/>
      <c r="F157" s="370"/>
      <c r="G157" s="370"/>
      <c r="H157" s="370"/>
      <c r="I157" s="370"/>
      <c r="J157" s="370"/>
      <c r="K157" s="370"/>
      <c r="L157" s="370"/>
      <c r="M157" s="370"/>
      <c r="N157" s="370"/>
      <c r="O157" s="370"/>
      <c r="P157" s="370"/>
    </row>
    <row r="158" spans="1:16" s="342" customFormat="1">
      <c r="A158" s="370"/>
      <c r="B158" s="370"/>
      <c r="C158" s="370"/>
      <c r="D158" s="370"/>
      <c r="E158" s="370"/>
      <c r="F158" s="370"/>
      <c r="G158" s="370"/>
      <c r="H158" s="370"/>
      <c r="I158" s="370"/>
      <c r="J158" s="370"/>
      <c r="K158" s="370"/>
      <c r="L158" s="370"/>
      <c r="M158" s="370"/>
      <c r="N158" s="370"/>
      <c r="O158" s="370"/>
      <c r="P158" s="370"/>
    </row>
    <row r="159" spans="1:16" s="342" customFormat="1">
      <c r="A159" s="370"/>
      <c r="B159" s="370"/>
      <c r="C159" s="370"/>
      <c r="D159" s="370"/>
      <c r="E159" s="370"/>
      <c r="F159" s="370"/>
      <c r="G159" s="370"/>
      <c r="H159" s="370"/>
      <c r="I159" s="370"/>
      <c r="J159" s="370"/>
      <c r="K159" s="370"/>
      <c r="L159" s="370"/>
      <c r="M159" s="370"/>
      <c r="N159" s="370"/>
      <c r="O159" s="370"/>
      <c r="P159" s="370"/>
    </row>
    <row r="160" spans="1:16" s="342" customFormat="1">
      <c r="A160" s="370"/>
      <c r="B160" s="370"/>
      <c r="C160" s="370"/>
      <c r="D160" s="370"/>
      <c r="E160" s="370"/>
      <c r="F160" s="370"/>
      <c r="G160" s="370"/>
      <c r="H160" s="370"/>
      <c r="I160" s="370"/>
      <c r="J160" s="370"/>
      <c r="K160" s="370"/>
      <c r="L160" s="370"/>
      <c r="M160" s="370"/>
      <c r="N160" s="370"/>
      <c r="O160" s="370"/>
      <c r="P160" s="370"/>
    </row>
    <row r="161" spans="1:16" s="342" customFormat="1">
      <c r="A161" s="370"/>
      <c r="B161" s="370"/>
      <c r="C161" s="370"/>
      <c r="D161" s="370"/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</row>
    <row r="162" spans="1:16" s="342" customFormat="1">
      <c r="A162" s="370"/>
      <c r="B162" s="370"/>
      <c r="C162" s="370"/>
      <c r="D162" s="370"/>
      <c r="E162" s="370"/>
      <c r="F162" s="370"/>
      <c r="G162" s="370"/>
      <c r="H162" s="370"/>
      <c r="I162" s="370"/>
      <c r="J162" s="370"/>
      <c r="K162" s="370"/>
      <c r="L162" s="370"/>
      <c r="M162" s="370"/>
      <c r="N162" s="370"/>
      <c r="O162" s="370"/>
      <c r="P162" s="370"/>
    </row>
    <row r="163" spans="1:16" s="342" customFormat="1">
      <c r="A163" s="370"/>
      <c r="B163" s="370"/>
      <c r="C163" s="370"/>
      <c r="D163" s="370"/>
      <c r="E163" s="370"/>
      <c r="F163" s="370"/>
      <c r="G163" s="370"/>
      <c r="H163" s="370"/>
      <c r="I163" s="370"/>
      <c r="J163" s="370"/>
      <c r="K163" s="370"/>
      <c r="L163" s="370"/>
      <c r="M163" s="370"/>
      <c r="N163" s="370"/>
      <c r="O163" s="370"/>
      <c r="P163" s="370"/>
    </row>
    <row r="164" spans="1:16" s="342" customFormat="1">
      <c r="A164" s="370"/>
      <c r="B164" s="370"/>
      <c r="C164" s="370"/>
      <c r="D164" s="370"/>
      <c r="E164" s="370"/>
      <c r="F164" s="370"/>
      <c r="G164" s="370"/>
      <c r="H164" s="370"/>
      <c r="I164" s="370"/>
      <c r="J164" s="370"/>
      <c r="K164" s="370"/>
      <c r="L164" s="370"/>
      <c r="M164" s="370"/>
      <c r="N164" s="370"/>
      <c r="O164" s="370"/>
      <c r="P164" s="370"/>
    </row>
    <row r="165" spans="1:16" s="342" customFormat="1">
      <c r="A165" s="370"/>
      <c r="B165" s="370"/>
      <c r="C165" s="370"/>
      <c r="D165" s="370"/>
      <c r="E165" s="370"/>
      <c r="F165" s="370"/>
      <c r="G165" s="370"/>
      <c r="H165" s="370"/>
      <c r="I165" s="370"/>
      <c r="J165" s="370"/>
      <c r="K165" s="370"/>
      <c r="L165" s="370"/>
      <c r="M165" s="370"/>
      <c r="N165" s="370"/>
      <c r="O165" s="370"/>
      <c r="P165" s="370"/>
    </row>
    <row r="166" spans="1:16" s="342" customFormat="1">
      <c r="A166" s="370"/>
      <c r="B166" s="370"/>
      <c r="C166" s="370"/>
      <c r="D166" s="370"/>
      <c r="E166" s="370"/>
      <c r="F166" s="370"/>
      <c r="G166" s="370"/>
      <c r="H166" s="370"/>
      <c r="I166" s="370"/>
      <c r="J166" s="370"/>
      <c r="K166" s="370"/>
      <c r="L166" s="370"/>
      <c r="M166" s="370"/>
      <c r="N166" s="370"/>
      <c r="O166" s="370"/>
      <c r="P166" s="370"/>
    </row>
    <row r="167" spans="1:16" s="342" customFormat="1">
      <c r="A167" s="370"/>
      <c r="B167" s="370"/>
      <c r="C167" s="370"/>
      <c r="D167" s="370"/>
      <c r="E167" s="370"/>
      <c r="F167" s="370"/>
      <c r="G167" s="370"/>
      <c r="H167" s="370"/>
      <c r="I167" s="370"/>
      <c r="J167" s="370"/>
      <c r="K167" s="370"/>
      <c r="L167" s="370"/>
      <c r="M167" s="370"/>
      <c r="N167" s="370"/>
      <c r="O167" s="370"/>
      <c r="P167" s="370"/>
    </row>
    <row r="168" spans="1:16" s="342" customFormat="1">
      <c r="A168" s="370"/>
      <c r="B168" s="370"/>
      <c r="C168" s="370"/>
      <c r="D168" s="370"/>
      <c r="E168" s="370"/>
      <c r="F168" s="370"/>
      <c r="G168" s="370"/>
      <c r="H168" s="370"/>
      <c r="I168" s="370"/>
      <c r="J168" s="370"/>
      <c r="K168" s="370"/>
      <c r="L168" s="370"/>
      <c r="M168" s="370"/>
      <c r="N168" s="370"/>
      <c r="O168" s="370"/>
      <c r="P168" s="370"/>
    </row>
    <row r="169" spans="1:16" s="342" customFormat="1">
      <c r="A169" s="370"/>
      <c r="B169" s="370"/>
      <c r="C169" s="370"/>
      <c r="D169" s="370"/>
      <c r="E169" s="370"/>
      <c r="F169" s="370"/>
      <c r="G169" s="370"/>
      <c r="H169" s="370"/>
      <c r="I169" s="370"/>
      <c r="J169" s="370"/>
      <c r="K169" s="370"/>
      <c r="L169" s="370"/>
      <c r="M169" s="370"/>
      <c r="N169" s="370"/>
      <c r="O169" s="370"/>
      <c r="P169" s="370"/>
    </row>
    <row r="170" spans="1:16" s="342" customFormat="1">
      <c r="A170" s="370"/>
      <c r="B170" s="370"/>
      <c r="C170" s="370"/>
      <c r="D170" s="370"/>
      <c r="E170" s="370"/>
      <c r="F170" s="370"/>
      <c r="G170" s="370"/>
      <c r="H170" s="370"/>
      <c r="I170" s="370"/>
      <c r="J170" s="370"/>
      <c r="K170" s="370"/>
      <c r="L170" s="370"/>
      <c r="M170" s="370"/>
      <c r="N170" s="370"/>
      <c r="O170" s="370"/>
      <c r="P170" s="370"/>
    </row>
    <row r="171" spans="1:16" s="342" customFormat="1">
      <c r="A171" s="370"/>
      <c r="B171" s="370"/>
      <c r="C171" s="370"/>
      <c r="D171" s="370"/>
      <c r="E171" s="370"/>
      <c r="F171" s="370"/>
      <c r="G171" s="370"/>
      <c r="H171" s="370"/>
      <c r="I171" s="370"/>
      <c r="J171" s="370"/>
      <c r="K171" s="370"/>
      <c r="L171" s="370"/>
      <c r="M171" s="370"/>
      <c r="N171" s="370"/>
      <c r="O171" s="370"/>
      <c r="P171" s="370"/>
    </row>
    <row r="172" spans="1:16" s="342" customFormat="1">
      <c r="A172" s="370"/>
      <c r="B172" s="370"/>
      <c r="C172" s="370"/>
      <c r="D172" s="370"/>
      <c r="E172" s="370"/>
      <c r="F172" s="370"/>
      <c r="G172" s="370"/>
      <c r="H172" s="370"/>
      <c r="I172" s="370"/>
      <c r="J172" s="370"/>
      <c r="K172" s="370"/>
      <c r="L172" s="370"/>
      <c r="M172" s="370"/>
      <c r="N172" s="370"/>
      <c r="O172" s="370"/>
      <c r="P172" s="370"/>
    </row>
    <row r="173" spans="1:16" s="342" customFormat="1">
      <c r="A173" s="370"/>
      <c r="B173" s="370"/>
      <c r="C173" s="370"/>
      <c r="D173" s="370"/>
      <c r="E173" s="370"/>
      <c r="F173" s="370"/>
      <c r="G173" s="370"/>
      <c r="H173" s="370"/>
      <c r="I173" s="370"/>
      <c r="J173" s="370"/>
      <c r="K173" s="370"/>
      <c r="L173" s="370"/>
      <c r="M173" s="370"/>
      <c r="N173" s="370"/>
      <c r="O173" s="370"/>
      <c r="P173" s="370"/>
    </row>
    <row r="174" spans="1:16" s="342" customFormat="1">
      <c r="A174" s="370"/>
      <c r="B174" s="370"/>
      <c r="C174" s="370"/>
      <c r="D174" s="370"/>
      <c r="E174" s="370"/>
      <c r="F174" s="370"/>
      <c r="G174" s="370"/>
      <c r="H174" s="370"/>
      <c r="I174" s="370"/>
      <c r="J174" s="370"/>
      <c r="K174" s="370"/>
      <c r="L174" s="370"/>
      <c r="M174" s="370"/>
      <c r="N174" s="370"/>
      <c r="O174" s="370"/>
      <c r="P174" s="370"/>
    </row>
    <row r="175" spans="1:16" s="342" customFormat="1">
      <c r="A175" s="370"/>
      <c r="B175" s="370"/>
      <c r="C175" s="370"/>
      <c r="D175" s="370"/>
      <c r="E175" s="370"/>
      <c r="F175" s="370"/>
      <c r="G175" s="370"/>
      <c r="H175" s="370"/>
      <c r="I175" s="370"/>
      <c r="J175" s="370"/>
      <c r="K175" s="370"/>
      <c r="L175" s="370"/>
      <c r="M175" s="370"/>
      <c r="N175" s="370"/>
      <c r="O175" s="370"/>
      <c r="P175" s="370"/>
    </row>
    <row r="176" spans="1:16" s="342" customFormat="1">
      <c r="A176" s="370"/>
      <c r="B176" s="370"/>
      <c r="C176" s="370"/>
      <c r="D176" s="370"/>
      <c r="E176" s="370"/>
      <c r="F176" s="370"/>
      <c r="G176" s="370"/>
      <c r="H176" s="370"/>
      <c r="I176" s="370"/>
      <c r="J176" s="370"/>
      <c r="K176" s="370"/>
      <c r="L176" s="370"/>
      <c r="M176" s="370"/>
      <c r="N176" s="370"/>
      <c r="O176" s="370"/>
      <c r="P176" s="370"/>
    </row>
    <row r="177" spans="1:16" s="342" customFormat="1">
      <c r="A177" s="370"/>
      <c r="B177" s="370"/>
      <c r="C177" s="370"/>
      <c r="D177" s="370"/>
      <c r="E177" s="370"/>
      <c r="F177" s="370"/>
      <c r="G177" s="370"/>
      <c r="H177" s="370"/>
      <c r="I177" s="370"/>
      <c r="J177" s="370"/>
      <c r="K177" s="370"/>
      <c r="L177" s="370"/>
      <c r="M177" s="370"/>
      <c r="N177" s="370"/>
      <c r="O177" s="370"/>
      <c r="P177" s="370"/>
    </row>
    <row r="178" spans="1:16" s="342" customFormat="1">
      <c r="A178" s="370"/>
      <c r="B178" s="370"/>
      <c r="C178" s="370"/>
      <c r="D178" s="370"/>
      <c r="E178" s="370"/>
      <c r="F178" s="370"/>
      <c r="G178" s="370"/>
      <c r="H178" s="370"/>
      <c r="I178" s="370"/>
      <c r="J178" s="370"/>
      <c r="K178" s="370"/>
      <c r="L178" s="370"/>
      <c r="M178" s="370"/>
      <c r="N178" s="370"/>
      <c r="O178" s="370"/>
      <c r="P178" s="370"/>
    </row>
    <row r="179" spans="1:16" s="342" customFormat="1">
      <c r="A179" s="370"/>
      <c r="B179" s="370"/>
      <c r="C179" s="370"/>
      <c r="D179" s="370"/>
      <c r="E179" s="370"/>
      <c r="F179" s="370"/>
      <c r="G179" s="370"/>
      <c r="H179" s="370"/>
      <c r="I179" s="370"/>
      <c r="J179" s="370"/>
      <c r="K179" s="370"/>
      <c r="L179" s="370"/>
      <c r="M179" s="370"/>
      <c r="N179" s="370"/>
      <c r="O179" s="370"/>
      <c r="P179" s="370"/>
    </row>
    <row r="180" spans="1:16" s="342" customFormat="1">
      <c r="A180" s="370"/>
      <c r="B180" s="370"/>
      <c r="C180" s="370"/>
      <c r="D180" s="370"/>
      <c r="E180" s="370"/>
      <c r="F180" s="370"/>
      <c r="G180" s="370"/>
      <c r="H180" s="370"/>
      <c r="I180" s="370"/>
      <c r="J180" s="370"/>
      <c r="K180" s="370"/>
      <c r="L180" s="370"/>
      <c r="M180" s="370"/>
      <c r="N180" s="370"/>
      <c r="O180" s="370"/>
      <c r="P180" s="370"/>
    </row>
    <row r="181" spans="1:16" s="342" customFormat="1">
      <c r="A181" s="370"/>
      <c r="B181" s="370"/>
      <c r="C181" s="370"/>
      <c r="D181" s="370"/>
      <c r="E181" s="370"/>
      <c r="F181" s="370"/>
      <c r="G181" s="370"/>
      <c r="H181" s="370"/>
      <c r="I181" s="370"/>
      <c r="J181" s="370"/>
      <c r="K181" s="370"/>
      <c r="L181" s="370"/>
      <c r="M181" s="370"/>
      <c r="N181" s="370"/>
      <c r="O181" s="370"/>
      <c r="P181" s="370"/>
    </row>
    <row r="182" spans="1:16" s="342" customFormat="1">
      <c r="A182" s="370"/>
      <c r="B182" s="370"/>
      <c r="C182" s="370"/>
      <c r="D182" s="370"/>
      <c r="E182" s="370"/>
      <c r="F182" s="370"/>
      <c r="G182" s="370"/>
      <c r="H182" s="370"/>
      <c r="I182" s="370"/>
      <c r="J182" s="370"/>
      <c r="K182" s="370"/>
      <c r="L182" s="370"/>
      <c r="M182" s="370"/>
      <c r="N182" s="370"/>
      <c r="O182" s="370"/>
      <c r="P182" s="370"/>
    </row>
    <row r="183" spans="1:16" s="342" customFormat="1">
      <c r="A183" s="370"/>
      <c r="B183" s="370"/>
      <c r="C183" s="370"/>
      <c r="D183" s="370"/>
      <c r="E183" s="370"/>
      <c r="F183" s="370"/>
      <c r="G183" s="370"/>
      <c r="H183" s="370"/>
      <c r="I183" s="370"/>
      <c r="J183" s="370"/>
      <c r="K183" s="370"/>
      <c r="L183" s="370"/>
      <c r="M183" s="370"/>
      <c r="N183" s="370"/>
      <c r="O183" s="370"/>
      <c r="P183" s="370"/>
    </row>
    <row r="184" spans="1:16" s="342" customFormat="1">
      <c r="A184" s="370"/>
      <c r="B184" s="370"/>
      <c r="C184" s="370"/>
      <c r="D184" s="370"/>
      <c r="E184" s="370"/>
      <c r="F184" s="370"/>
      <c r="G184" s="370"/>
      <c r="H184" s="370"/>
      <c r="I184" s="370"/>
      <c r="J184" s="370"/>
      <c r="K184" s="370"/>
      <c r="L184" s="370"/>
      <c r="M184" s="370"/>
      <c r="N184" s="370"/>
      <c r="O184" s="370"/>
      <c r="P184" s="370"/>
    </row>
    <row r="185" spans="1:16" s="342" customFormat="1">
      <c r="A185" s="370"/>
      <c r="B185" s="370"/>
      <c r="C185" s="370"/>
      <c r="D185" s="370"/>
      <c r="E185" s="370"/>
      <c r="F185" s="370"/>
      <c r="G185" s="370"/>
      <c r="H185" s="370"/>
      <c r="I185" s="370"/>
      <c r="J185" s="370"/>
      <c r="K185" s="370"/>
      <c r="L185" s="370"/>
      <c r="M185" s="370"/>
      <c r="N185" s="370"/>
      <c r="O185" s="370"/>
      <c r="P185" s="370"/>
    </row>
    <row r="186" spans="1:16" s="342" customFormat="1">
      <c r="A186" s="370"/>
      <c r="B186" s="370"/>
      <c r="C186" s="370"/>
      <c r="D186" s="370"/>
      <c r="E186" s="370"/>
      <c r="F186" s="370"/>
      <c r="G186" s="370"/>
      <c r="H186" s="370"/>
      <c r="I186" s="370"/>
      <c r="J186" s="370"/>
      <c r="K186" s="370"/>
      <c r="L186" s="370"/>
      <c r="M186" s="370"/>
      <c r="N186" s="370"/>
      <c r="O186" s="370"/>
      <c r="P186" s="370"/>
    </row>
    <row r="187" spans="1:16" s="342" customFormat="1">
      <c r="A187" s="370"/>
      <c r="B187" s="370"/>
      <c r="C187" s="370"/>
      <c r="D187" s="370"/>
      <c r="E187" s="370"/>
      <c r="F187" s="370"/>
      <c r="G187" s="370"/>
      <c r="H187" s="370"/>
      <c r="I187" s="370"/>
      <c r="J187" s="370"/>
      <c r="K187" s="370"/>
      <c r="L187" s="370"/>
      <c r="M187" s="370"/>
      <c r="N187" s="370"/>
      <c r="O187" s="370"/>
      <c r="P187" s="370"/>
    </row>
    <row r="188" spans="1:16" s="342" customFormat="1">
      <c r="A188" s="370"/>
      <c r="B188" s="370"/>
      <c r="C188" s="370"/>
      <c r="D188" s="370"/>
      <c r="E188" s="370"/>
      <c r="F188" s="370"/>
      <c r="G188" s="370"/>
      <c r="H188" s="370"/>
      <c r="I188" s="370"/>
      <c r="J188" s="370"/>
      <c r="K188" s="370"/>
      <c r="L188" s="370"/>
      <c r="M188" s="370"/>
      <c r="N188" s="370"/>
      <c r="O188" s="370"/>
      <c r="P188" s="370"/>
    </row>
    <row r="189" spans="1:16" s="342" customFormat="1">
      <c r="A189" s="370"/>
      <c r="B189" s="370"/>
      <c r="C189" s="370"/>
      <c r="D189" s="370"/>
      <c r="E189" s="370"/>
      <c r="F189" s="370"/>
      <c r="G189" s="370"/>
      <c r="H189" s="370"/>
      <c r="I189" s="370"/>
      <c r="J189" s="370"/>
      <c r="K189" s="370"/>
      <c r="L189" s="370"/>
      <c r="M189" s="370"/>
      <c r="N189" s="370"/>
      <c r="O189" s="370"/>
      <c r="P189" s="370"/>
    </row>
    <row r="190" spans="1:16" s="342" customFormat="1">
      <c r="A190" s="370"/>
      <c r="B190" s="370"/>
      <c r="C190" s="370"/>
      <c r="D190" s="370"/>
      <c r="E190" s="370"/>
      <c r="F190" s="370"/>
      <c r="G190" s="370"/>
      <c r="H190" s="370"/>
      <c r="I190" s="370"/>
      <c r="J190" s="370"/>
      <c r="K190" s="370"/>
      <c r="L190" s="370"/>
      <c r="M190" s="370"/>
      <c r="N190" s="370"/>
      <c r="O190" s="370"/>
      <c r="P190" s="370"/>
    </row>
    <row r="191" spans="1:16" s="342" customFormat="1">
      <c r="A191" s="370"/>
      <c r="B191" s="370"/>
      <c r="C191" s="370"/>
      <c r="D191" s="370"/>
      <c r="E191" s="370"/>
      <c r="F191" s="370"/>
      <c r="G191" s="370"/>
      <c r="H191" s="370"/>
      <c r="I191" s="370"/>
      <c r="J191" s="370"/>
      <c r="K191" s="370"/>
      <c r="L191" s="370"/>
      <c r="M191" s="370"/>
      <c r="N191" s="370"/>
      <c r="O191" s="370"/>
      <c r="P191" s="370"/>
    </row>
    <row r="192" spans="1:16" s="342" customFormat="1">
      <c r="A192" s="370"/>
      <c r="B192" s="370"/>
      <c r="C192" s="370"/>
      <c r="D192" s="370"/>
      <c r="E192" s="370"/>
      <c r="F192" s="370"/>
      <c r="G192" s="370"/>
      <c r="H192" s="370"/>
      <c r="I192" s="370"/>
      <c r="J192" s="370"/>
      <c r="K192" s="370"/>
      <c r="L192" s="370"/>
      <c r="M192" s="370"/>
      <c r="N192" s="370"/>
      <c r="O192" s="370"/>
      <c r="P192" s="370"/>
    </row>
    <row r="193" spans="1:16" s="342" customFormat="1">
      <c r="A193" s="370"/>
      <c r="B193" s="370"/>
      <c r="C193" s="370"/>
      <c r="D193" s="370"/>
      <c r="E193" s="370"/>
      <c r="F193" s="370"/>
      <c r="G193" s="370"/>
      <c r="H193" s="370"/>
      <c r="I193" s="370"/>
      <c r="J193" s="370"/>
      <c r="K193" s="370"/>
      <c r="L193" s="370"/>
      <c r="M193" s="370"/>
      <c r="N193" s="370"/>
      <c r="O193" s="370"/>
      <c r="P193" s="370"/>
    </row>
    <row r="194" spans="1:16" s="342" customFormat="1">
      <c r="A194" s="370"/>
      <c r="B194" s="370"/>
      <c r="C194" s="370"/>
      <c r="D194" s="370"/>
      <c r="E194" s="370"/>
      <c r="F194" s="370"/>
      <c r="G194" s="370"/>
      <c r="H194" s="370"/>
      <c r="I194" s="370"/>
      <c r="J194" s="370"/>
      <c r="K194" s="370"/>
      <c r="L194" s="370"/>
      <c r="M194" s="370"/>
      <c r="N194" s="370"/>
      <c r="O194" s="370"/>
      <c r="P194" s="370"/>
    </row>
    <row r="195" spans="1:16" s="342" customFormat="1">
      <c r="A195" s="370"/>
      <c r="B195" s="370"/>
      <c r="C195" s="370"/>
      <c r="D195" s="370"/>
      <c r="E195" s="370"/>
      <c r="F195" s="370"/>
      <c r="G195" s="370"/>
      <c r="H195" s="370"/>
      <c r="I195" s="370"/>
      <c r="J195" s="370"/>
      <c r="K195" s="370"/>
      <c r="L195" s="370"/>
      <c r="M195" s="370"/>
      <c r="N195" s="370"/>
      <c r="O195" s="370"/>
      <c r="P195" s="370"/>
    </row>
    <row r="196" spans="1:16" s="342" customFormat="1">
      <c r="A196" s="370"/>
      <c r="B196" s="370"/>
      <c r="C196" s="370"/>
      <c r="D196" s="370"/>
      <c r="E196" s="370"/>
      <c r="F196" s="370"/>
      <c r="G196" s="370"/>
      <c r="H196" s="370"/>
      <c r="I196" s="370"/>
      <c r="J196" s="370"/>
      <c r="K196" s="370"/>
      <c r="L196" s="370"/>
      <c r="M196" s="370"/>
      <c r="N196" s="370"/>
      <c r="O196" s="370"/>
      <c r="P196" s="370"/>
    </row>
    <row r="197" spans="1:16" s="342" customFormat="1">
      <c r="A197" s="370"/>
      <c r="B197" s="370"/>
      <c r="C197" s="370"/>
      <c r="D197" s="370"/>
      <c r="E197" s="370"/>
      <c r="F197" s="370"/>
      <c r="G197" s="370"/>
      <c r="H197" s="370"/>
      <c r="I197" s="370"/>
      <c r="J197" s="370"/>
      <c r="K197" s="370"/>
      <c r="L197" s="370"/>
      <c r="M197" s="370"/>
      <c r="N197" s="370"/>
      <c r="O197" s="370"/>
      <c r="P197" s="370"/>
    </row>
    <row r="198" spans="1:16" s="342" customFormat="1">
      <c r="A198" s="370"/>
      <c r="B198" s="370"/>
      <c r="C198" s="370"/>
      <c r="D198" s="370"/>
      <c r="E198" s="370"/>
      <c r="F198" s="370"/>
      <c r="G198" s="370"/>
      <c r="H198" s="370"/>
      <c r="I198" s="370"/>
      <c r="J198" s="370"/>
      <c r="K198" s="370"/>
      <c r="L198" s="370"/>
      <c r="M198" s="370"/>
      <c r="N198" s="370"/>
      <c r="O198" s="370"/>
      <c r="P198" s="370"/>
    </row>
    <row r="199" spans="1:16" s="342" customFormat="1">
      <c r="A199" s="370"/>
      <c r="B199" s="370"/>
      <c r="C199" s="370"/>
      <c r="D199" s="370"/>
      <c r="E199" s="370"/>
      <c r="F199" s="370"/>
      <c r="G199" s="370"/>
      <c r="H199" s="370"/>
      <c r="I199" s="370"/>
      <c r="J199" s="370"/>
      <c r="K199" s="370"/>
      <c r="L199" s="370"/>
      <c r="M199" s="370"/>
      <c r="N199" s="370"/>
      <c r="O199" s="370"/>
      <c r="P199" s="370"/>
    </row>
    <row r="200" spans="1:16" s="342" customFormat="1">
      <c r="A200" s="370"/>
      <c r="B200" s="370"/>
      <c r="C200" s="370"/>
      <c r="D200" s="370"/>
      <c r="E200" s="370"/>
      <c r="F200" s="370"/>
      <c r="G200" s="370"/>
      <c r="H200" s="370"/>
      <c r="I200" s="370"/>
      <c r="J200" s="370"/>
      <c r="K200" s="370"/>
      <c r="L200" s="370"/>
      <c r="M200" s="370"/>
      <c r="N200" s="370"/>
      <c r="O200" s="370"/>
      <c r="P200" s="370"/>
    </row>
    <row r="201" spans="1:16" s="342" customFormat="1">
      <c r="A201" s="370"/>
      <c r="B201" s="370"/>
      <c r="C201" s="370"/>
      <c r="D201" s="370"/>
      <c r="E201" s="370"/>
      <c r="F201" s="370"/>
      <c r="G201" s="370"/>
      <c r="H201" s="370"/>
      <c r="I201" s="370"/>
      <c r="J201" s="370"/>
      <c r="K201" s="370"/>
      <c r="L201" s="370"/>
      <c r="M201" s="370"/>
      <c r="N201" s="370"/>
      <c r="O201" s="370"/>
      <c r="P201" s="370"/>
    </row>
    <row r="202" spans="1:16" s="342" customFormat="1">
      <c r="A202" s="370"/>
      <c r="B202" s="370"/>
      <c r="C202" s="370"/>
      <c r="D202" s="370"/>
      <c r="E202" s="370"/>
      <c r="F202" s="370"/>
      <c r="G202" s="370"/>
      <c r="H202" s="370"/>
      <c r="I202" s="370"/>
      <c r="J202" s="370"/>
      <c r="K202" s="370"/>
      <c r="L202" s="370"/>
      <c r="M202" s="370"/>
      <c r="N202" s="370"/>
      <c r="O202" s="370"/>
      <c r="P202" s="370"/>
    </row>
    <row r="203" spans="1:16" s="342" customFormat="1">
      <c r="A203" s="370"/>
      <c r="B203" s="370"/>
      <c r="C203" s="370"/>
      <c r="D203" s="370"/>
      <c r="E203" s="370"/>
      <c r="F203" s="370"/>
      <c r="G203" s="370"/>
      <c r="H203" s="370"/>
      <c r="I203" s="370"/>
      <c r="J203" s="370"/>
      <c r="K203" s="370"/>
      <c r="L203" s="370"/>
      <c r="M203" s="370"/>
      <c r="N203" s="370"/>
      <c r="O203" s="370"/>
      <c r="P203" s="370"/>
    </row>
    <row r="204" spans="1:16" s="342" customFormat="1">
      <c r="A204" s="370"/>
      <c r="B204" s="370"/>
      <c r="C204" s="370"/>
      <c r="D204" s="370"/>
      <c r="E204" s="370"/>
      <c r="F204" s="370"/>
      <c r="G204" s="370"/>
      <c r="H204" s="370"/>
      <c r="I204" s="370"/>
      <c r="J204" s="370"/>
      <c r="K204" s="370"/>
      <c r="L204" s="370"/>
      <c r="M204" s="370"/>
      <c r="N204" s="370"/>
      <c r="O204" s="370"/>
      <c r="P204" s="370"/>
    </row>
    <row r="205" spans="1:16" s="342" customFormat="1">
      <c r="A205" s="370"/>
      <c r="B205" s="370"/>
      <c r="C205" s="370"/>
      <c r="D205" s="370"/>
      <c r="E205" s="370"/>
      <c r="F205" s="370"/>
      <c r="G205" s="370"/>
      <c r="H205" s="370"/>
      <c r="I205" s="370"/>
      <c r="J205" s="370"/>
      <c r="K205" s="370"/>
      <c r="L205" s="370"/>
      <c r="M205" s="370"/>
      <c r="N205" s="370"/>
      <c r="O205" s="370"/>
      <c r="P205" s="370"/>
    </row>
    <row r="206" spans="1:16" s="342" customFormat="1">
      <c r="A206" s="370"/>
      <c r="B206" s="370"/>
      <c r="C206" s="370"/>
      <c r="D206" s="370"/>
      <c r="E206" s="370"/>
      <c r="F206" s="370"/>
      <c r="G206" s="370"/>
      <c r="H206" s="370"/>
      <c r="I206" s="370"/>
      <c r="J206" s="370"/>
      <c r="K206" s="370"/>
      <c r="L206" s="370"/>
      <c r="M206" s="370"/>
      <c r="N206" s="370"/>
      <c r="O206" s="370"/>
      <c r="P206" s="370"/>
    </row>
    <row r="207" spans="1:16" s="342" customFormat="1">
      <c r="A207" s="370"/>
      <c r="B207" s="370"/>
      <c r="C207" s="370"/>
      <c r="D207" s="370"/>
      <c r="E207" s="370"/>
      <c r="F207" s="370"/>
      <c r="G207" s="370"/>
      <c r="H207" s="370"/>
      <c r="I207" s="370"/>
      <c r="J207" s="370"/>
      <c r="K207" s="370"/>
      <c r="L207" s="370"/>
      <c r="M207" s="370"/>
      <c r="N207" s="370"/>
      <c r="O207" s="370"/>
      <c r="P207" s="370"/>
    </row>
    <row r="208" spans="1:16" s="342" customFormat="1">
      <c r="A208" s="370"/>
      <c r="B208" s="370"/>
      <c r="C208" s="370"/>
      <c r="D208" s="370"/>
      <c r="E208" s="370"/>
      <c r="F208" s="370"/>
      <c r="G208" s="370"/>
      <c r="H208" s="370"/>
      <c r="I208" s="370"/>
      <c r="J208" s="370"/>
      <c r="K208" s="370"/>
      <c r="L208" s="370"/>
      <c r="M208" s="370"/>
      <c r="N208" s="370"/>
      <c r="O208" s="370"/>
      <c r="P208" s="370"/>
    </row>
    <row r="209" spans="1:16" s="342" customFormat="1">
      <c r="A209" s="370"/>
      <c r="B209" s="370"/>
      <c r="C209" s="370"/>
      <c r="D209" s="370"/>
      <c r="E209" s="370"/>
      <c r="F209" s="370"/>
      <c r="G209" s="370"/>
      <c r="H209" s="370"/>
      <c r="I209" s="370"/>
      <c r="J209" s="370"/>
      <c r="K209" s="370"/>
      <c r="L209" s="370"/>
      <c r="M209" s="370"/>
      <c r="N209" s="370"/>
      <c r="O209" s="370"/>
      <c r="P209" s="370"/>
    </row>
    <row r="210" spans="1:16" s="342" customFormat="1">
      <c r="A210" s="370"/>
      <c r="B210" s="370"/>
      <c r="C210" s="370"/>
      <c r="D210" s="370"/>
      <c r="E210" s="370"/>
      <c r="F210" s="370"/>
      <c r="G210" s="370"/>
      <c r="H210" s="370"/>
      <c r="I210" s="370"/>
      <c r="J210" s="370"/>
      <c r="K210" s="370"/>
      <c r="L210" s="370"/>
      <c r="M210" s="370"/>
      <c r="N210" s="370"/>
      <c r="O210" s="370"/>
      <c r="P210" s="370"/>
    </row>
    <row r="211" spans="1:16" s="342" customFormat="1">
      <c r="A211" s="370"/>
      <c r="B211" s="370"/>
      <c r="C211" s="370"/>
      <c r="D211" s="370"/>
      <c r="E211" s="370"/>
      <c r="F211" s="370"/>
      <c r="G211" s="370"/>
      <c r="H211" s="370"/>
      <c r="I211" s="370"/>
      <c r="J211" s="370"/>
      <c r="K211" s="370"/>
      <c r="L211" s="370"/>
      <c r="M211" s="370"/>
      <c r="N211" s="370"/>
      <c r="O211" s="370"/>
      <c r="P211" s="370"/>
    </row>
    <row r="212" spans="1:16" s="342" customFormat="1">
      <c r="A212" s="370"/>
      <c r="B212" s="370"/>
      <c r="C212" s="370"/>
      <c r="D212" s="370"/>
      <c r="E212" s="370"/>
      <c r="F212" s="370"/>
      <c r="G212" s="370"/>
      <c r="H212" s="370"/>
      <c r="I212" s="370"/>
      <c r="J212" s="370"/>
      <c r="K212" s="370"/>
      <c r="L212" s="370"/>
      <c r="M212" s="370"/>
      <c r="N212" s="370"/>
      <c r="O212" s="370"/>
      <c r="P212" s="370"/>
    </row>
    <row r="213" spans="1:16" s="342" customFormat="1">
      <c r="A213" s="370"/>
      <c r="B213" s="370"/>
      <c r="C213" s="370"/>
      <c r="D213" s="370"/>
      <c r="E213" s="370"/>
      <c r="F213" s="370"/>
      <c r="G213" s="370"/>
      <c r="H213" s="370"/>
      <c r="I213" s="370"/>
      <c r="J213" s="370"/>
      <c r="K213" s="370"/>
      <c r="L213" s="370"/>
      <c r="M213" s="370"/>
      <c r="N213" s="370"/>
      <c r="O213" s="370"/>
      <c r="P213" s="370"/>
    </row>
  </sheetData>
  <sheetProtection formatCells="0" formatColumns="0" formatRows="0" insertColumns="0" insertRows="0" insertHyperlinks="0" deleteColumns="0" deleteRows="0" sort="0" autoFilter="0" pivotTables="0"/>
  <mergeCells count="5">
    <mergeCell ref="S1:S2"/>
    <mergeCell ref="R1:R2"/>
    <mergeCell ref="L1:P1"/>
    <mergeCell ref="B1:H1"/>
    <mergeCell ref="I1:K1"/>
  </mergeCells>
  <hyperlinks>
    <hyperlink ref="R1" location="ГЛАВНАЯ!A1" display="На главную" xr:uid="{00000000-0004-0000-0100-000000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/>
  <dimension ref="A1:K55"/>
  <sheetViews>
    <sheetView zoomScale="115" zoomScaleNormal="115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C51" sqref="C51"/>
    </sheetView>
  </sheetViews>
  <sheetFormatPr defaultRowHeight="14.3"/>
  <cols>
    <col min="1" max="1" width="45.25" customWidth="1"/>
    <col min="2" max="2" width="4.375" bestFit="1" customWidth="1"/>
    <col min="3" max="3" width="7.875" customWidth="1"/>
    <col min="4" max="4" width="4.375" bestFit="1" customWidth="1"/>
    <col min="5" max="5" width="7.125" customWidth="1"/>
    <col min="6" max="6" width="5.625" bestFit="1" customWidth="1"/>
    <col min="7" max="7" width="7" customWidth="1"/>
    <col min="10" max="10" width="16.75" customWidth="1"/>
  </cols>
  <sheetData>
    <row r="1" spans="1:7" ht="35.35" customHeight="1">
      <c r="A1" s="116" t="s">
        <v>2</v>
      </c>
      <c r="B1" s="916" t="s">
        <v>1194</v>
      </c>
      <c r="C1" s="917"/>
      <c r="D1" s="918" t="s">
        <v>2000</v>
      </c>
      <c r="E1" s="919"/>
      <c r="F1" s="814" t="s">
        <v>1190</v>
      </c>
      <c r="G1" s="920"/>
    </row>
    <row r="2" spans="1:7" ht="14.95" customHeight="1">
      <c r="A2" s="90"/>
      <c r="B2" s="23">
        <v>1.5</v>
      </c>
      <c r="C2" s="23">
        <v>2</v>
      </c>
      <c r="D2" s="180">
        <v>1.5</v>
      </c>
      <c r="E2" s="180">
        <v>2</v>
      </c>
      <c r="F2" s="181">
        <v>1.5</v>
      </c>
      <c r="G2" s="181">
        <v>2</v>
      </c>
    </row>
    <row r="3" spans="1:7" ht="16.5" customHeight="1">
      <c r="A3" s="11" t="s">
        <v>22</v>
      </c>
      <c r="B3" s="91"/>
      <c r="C3" s="91"/>
      <c r="D3" s="40"/>
      <c r="E3" s="189"/>
      <c r="F3" s="41"/>
      <c r="G3" s="41"/>
    </row>
    <row r="4" spans="1:7">
      <c r="A4" s="89" t="s">
        <v>2013</v>
      </c>
      <c r="B4" s="136">
        <f>C4*0.95</f>
        <v>31.029374999999998</v>
      </c>
      <c r="C4" s="137">
        <f>0.25*'Цены на металл '!$G4*1.5*1.3</f>
        <v>32.662500000000001</v>
      </c>
      <c r="D4" s="138">
        <f>E4*0.95</f>
        <v>48.628124999999997</v>
      </c>
      <c r="E4" s="138">
        <f>0.25*'Цены на металл '!J8*1.5*1.3</f>
        <v>51.1875</v>
      </c>
      <c r="F4" s="139">
        <f>G4*0.85</f>
        <v>99.45</v>
      </c>
      <c r="G4" s="139">
        <f>0.25*'Цены на металл '!P4*1.5*1.3</f>
        <v>117</v>
      </c>
    </row>
    <row r="5" spans="1:7">
      <c r="A5" s="89" t="s">
        <v>2015</v>
      </c>
      <c r="B5" s="136">
        <f t="shared" ref="B5:B23" si="0">C5*0.95</f>
        <v>49.647000000000006</v>
      </c>
      <c r="C5" s="123">
        <f>0.4*'Цены на металл '!$G4*1.5*1.3</f>
        <v>52.260000000000005</v>
      </c>
      <c r="D5" s="138">
        <f t="shared" ref="D5:D23" si="1">E5*0.95</f>
        <v>77.805000000000007</v>
      </c>
      <c r="E5" s="124">
        <f>0.4*'Цены на металл '!J8*1.5*1.3</f>
        <v>81.900000000000006</v>
      </c>
      <c r="F5" s="139">
        <f t="shared" ref="F5:F23" si="2">G5*0.85</f>
        <v>159.12</v>
      </c>
      <c r="G5" s="140">
        <f>0.4*'Цены на металл '!P4*1.5*1.3</f>
        <v>187.20000000000002</v>
      </c>
    </row>
    <row r="6" spans="1:7">
      <c r="A6" s="89" t="s">
        <v>2014</v>
      </c>
      <c r="B6" s="136">
        <f t="shared" si="0"/>
        <v>62.058749999999996</v>
      </c>
      <c r="C6" s="123">
        <f>0.5*'Цены на металл '!$G4*1.5*1.3</f>
        <v>65.325000000000003</v>
      </c>
      <c r="D6" s="138">
        <f t="shared" si="1"/>
        <v>97.256249999999994</v>
      </c>
      <c r="E6" s="124">
        <f>0.5*'Цены на металл '!J8*1.5*1.3</f>
        <v>102.375</v>
      </c>
      <c r="F6" s="139">
        <f t="shared" si="2"/>
        <v>198.9</v>
      </c>
      <c r="G6" s="140">
        <f>0.5*'Цены на металл '!P4*1.5*1.3</f>
        <v>234</v>
      </c>
    </row>
    <row r="7" spans="1:7">
      <c r="A7" s="89" t="s">
        <v>2016</v>
      </c>
      <c r="B7" s="136">
        <f t="shared" si="0"/>
        <v>75.616199999999992</v>
      </c>
      <c r="C7" s="123">
        <f>0.66*'Цены на металл '!$G4*1.5*1.2</f>
        <v>79.595999999999989</v>
      </c>
      <c r="D7" s="138">
        <f t="shared" si="1"/>
        <v>118.50299999999997</v>
      </c>
      <c r="E7" s="124">
        <f>0.66*'Цены на металл '!J8*1.5*1.2</f>
        <v>124.73999999999998</v>
      </c>
      <c r="F7" s="139">
        <f t="shared" si="2"/>
        <v>242.352</v>
      </c>
      <c r="G7" s="140">
        <f>0.66*'Цены на металл '!P4*1.5*1.2</f>
        <v>285.12</v>
      </c>
    </row>
    <row r="8" spans="1:7">
      <c r="A8" s="89" t="s">
        <v>2017</v>
      </c>
      <c r="B8" s="136">
        <f t="shared" si="0"/>
        <v>87.073199999999986</v>
      </c>
      <c r="C8" s="123">
        <f>0.76*'Цены на металл '!$G4*1.5*1.2</f>
        <v>91.655999999999992</v>
      </c>
      <c r="D8" s="138">
        <f t="shared" si="1"/>
        <v>136.45799999999997</v>
      </c>
      <c r="E8" s="124">
        <f>0.76*'Цены на металл '!J8*1.5*1.2</f>
        <v>143.63999999999999</v>
      </c>
      <c r="F8" s="139">
        <f t="shared" si="2"/>
        <v>279.072</v>
      </c>
      <c r="G8" s="140">
        <f>0.76*'Цены на металл '!P4*1.5*1.2</f>
        <v>328.32</v>
      </c>
    </row>
    <row r="9" spans="1:7">
      <c r="A9" s="16" t="s">
        <v>2018</v>
      </c>
      <c r="B9" s="136">
        <f t="shared" si="0"/>
        <v>114.57</v>
      </c>
      <c r="C9" s="123">
        <f>1*'Цены на металл '!$G4*1.5*1.2</f>
        <v>120.6</v>
      </c>
      <c r="D9" s="138">
        <f t="shared" si="1"/>
        <v>179.54999999999998</v>
      </c>
      <c r="E9" s="124">
        <f>1*'Цены на металл '!J8*1.5*1.2</f>
        <v>189</v>
      </c>
      <c r="F9" s="139">
        <f t="shared" si="2"/>
        <v>367.2</v>
      </c>
      <c r="G9" s="140">
        <f>1*'Цены на металл '!P4*1.5*1.2</f>
        <v>432</v>
      </c>
    </row>
    <row r="10" spans="1:7">
      <c r="A10" s="16" t="s">
        <v>2019</v>
      </c>
      <c r="B10" s="136">
        <f t="shared" si="0"/>
        <v>133.66499999999999</v>
      </c>
      <c r="C10" s="123">
        <f>1*'Цены на металл '!$G4*1.5*1.4</f>
        <v>140.69999999999999</v>
      </c>
      <c r="D10" s="138">
        <f t="shared" si="1"/>
        <v>209.47499999999999</v>
      </c>
      <c r="E10" s="124">
        <f>1*'Цены на металл '!J8*1.5*1.4</f>
        <v>220.5</v>
      </c>
      <c r="F10" s="139">
        <f t="shared" si="2"/>
        <v>428.39999999999992</v>
      </c>
      <c r="G10" s="140">
        <f>1*'Цены на металл '!P4*1.5*1.4</f>
        <v>503.99999999999994</v>
      </c>
    </row>
    <row r="11" spans="1:7" ht="28.55">
      <c r="A11" s="185" t="s">
        <v>2027</v>
      </c>
      <c r="B11" s="136" t="s">
        <v>770</v>
      </c>
      <c r="C11" s="123"/>
      <c r="D11" s="138" t="s">
        <v>770</v>
      </c>
      <c r="E11" s="124"/>
      <c r="F11" s="139" t="s">
        <v>770</v>
      </c>
      <c r="G11" s="140"/>
    </row>
    <row r="12" spans="1:7" ht="28.55">
      <c r="A12" s="185" t="s">
        <v>2028</v>
      </c>
      <c r="B12" s="136" t="s">
        <v>770</v>
      </c>
      <c r="C12" s="123"/>
      <c r="D12" s="138" t="s">
        <v>770</v>
      </c>
      <c r="E12" s="124"/>
      <c r="F12" s="139" t="s">
        <v>770</v>
      </c>
      <c r="G12" s="140"/>
    </row>
    <row r="13" spans="1:7" ht="28.55">
      <c r="A13" s="185" t="s">
        <v>2029</v>
      </c>
      <c r="B13" s="136" t="s">
        <v>770</v>
      </c>
      <c r="C13" s="123"/>
      <c r="D13" s="138" t="s">
        <v>770</v>
      </c>
      <c r="E13" s="124"/>
      <c r="F13" s="139" t="s">
        <v>770</v>
      </c>
      <c r="G13" s="140"/>
    </row>
    <row r="14" spans="1:7" ht="28.55">
      <c r="A14" s="185" t="s">
        <v>2030</v>
      </c>
      <c r="B14" s="136" t="s">
        <v>770</v>
      </c>
      <c r="C14" s="123"/>
      <c r="D14" s="138" t="s">
        <v>770</v>
      </c>
      <c r="E14" s="124"/>
      <c r="F14" s="139" t="s">
        <v>770</v>
      </c>
      <c r="G14" s="140"/>
    </row>
    <row r="15" spans="1:7" ht="28.55">
      <c r="A15" s="185" t="s">
        <v>2031</v>
      </c>
      <c r="B15" s="136" t="s">
        <v>770</v>
      </c>
      <c r="C15" s="123"/>
      <c r="D15" s="138" t="s">
        <v>770</v>
      </c>
      <c r="E15" s="124"/>
      <c r="F15" s="139" t="s">
        <v>770</v>
      </c>
      <c r="G15" s="140"/>
    </row>
    <row r="16" spans="1:7" ht="28.55">
      <c r="A16" s="185" t="s">
        <v>2032</v>
      </c>
      <c r="B16" s="136" t="s">
        <v>770</v>
      </c>
      <c r="C16" s="123"/>
      <c r="D16" s="138" t="s">
        <v>770</v>
      </c>
      <c r="E16" s="124"/>
      <c r="F16" s="139" t="s">
        <v>770</v>
      </c>
      <c r="G16" s="140"/>
    </row>
    <row r="17" spans="1:11">
      <c r="A17" s="16" t="s">
        <v>2033</v>
      </c>
      <c r="B17" s="136">
        <f t="shared" si="0"/>
        <v>24.823500000000003</v>
      </c>
      <c r="C17" s="123">
        <f>0.2*'Цены на металл '!$G4*1.5*1.3</f>
        <v>26.130000000000003</v>
      </c>
      <c r="D17" s="138">
        <f t="shared" si="1"/>
        <v>38.902500000000003</v>
      </c>
      <c r="E17" s="124">
        <f>0.2*'Цены на металл '!J8*1.5*1.3</f>
        <v>40.950000000000003</v>
      </c>
      <c r="F17" s="139">
        <f t="shared" si="2"/>
        <v>79.56</v>
      </c>
      <c r="G17" s="140">
        <f>0.2*'Цены на металл '!P4*1.5*1.3</f>
        <v>93.600000000000009</v>
      </c>
    </row>
    <row r="18" spans="1:11" ht="17.350000000000001" customHeight="1">
      <c r="A18" s="16" t="s">
        <v>1964</v>
      </c>
      <c r="B18" s="136">
        <f t="shared" si="0"/>
        <v>37.235250000000001</v>
      </c>
      <c r="C18" s="123">
        <f>0.3*'Цены на металл '!$G4*1.5*1.3</f>
        <v>39.195</v>
      </c>
      <c r="D18" s="138">
        <f t="shared" si="1"/>
        <v>58.353749999999998</v>
      </c>
      <c r="E18" s="124">
        <f>0.3*'Цены на металл '!J8*1.5*1.3</f>
        <v>61.425000000000004</v>
      </c>
      <c r="F18" s="139">
        <f t="shared" si="2"/>
        <v>119.34</v>
      </c>
      <c r="G18" s="140">
        <f>0.3*'Цены на металл '!P4*1.5*1.3</f>
        <v>140.4</v>
      </c>
      <c r="K18" s="116"/>
    </row>
    <row r="19" spans="1:11">
      <c r="A19" s="16" t="s">
        <v>1965</v>
      </c>
      <c r="B19" s="136">
        <f t="shared" si="0"/>
        <v>51.5565</v>
      </c>
      <c r="C19" s="123">
        <f>0.45*'Цены на металл '!$G4*1.5*1.2</f>
        <v>54.27</v>
      </c>
      <c r="D19" s="138">
        <f t="shared" si="1"/>
        <v>87.530625000000001</v>
      </c>
      <c r="E19" s="124">
        <f>0.45*'Цены на металл '!J8*1.5*1.3</f>
        <v>92.137500000000003</v>
      </c>
      <c r="F19" s="139">
        <f t="shared" si="2"/>
        <v>179.01</v>
      </c>
      <c r="G19" s="140">
        <f>0.45*'Цены на металл '!P4*1.5*1.3</f>
        <v>210.6</v>
      </c>
    </row>
    <row r="20" spans="1:11">
      <c r="A20" s="16" t="s">
        <v>1966</v>
      </c>
      <c r="B20" s="136">
        <f t="shared" si="0"/>
        <v>79.053299999999993</v>
      </c>
      <c r="C20" s="123">
        <f>0.69*'Цены на металл '!$G4*1.5*1.2</f>
        <v>83.213999999999999</v>
      </c>
      <c r="D20" s="138">
        <f t="shared" si="1"/>
        <v>123.88949999999997</v>
      </c>
      <c r="E20" s="124">
        <f>0.69*'Цены на металл '!J8*1.5*1.2</f>
        <v>130.40999999999997</v>
      </c>
      <c r="F20" s="139">
        <f t="shared" si="2"/>
        <v>253.36799999999997</v>
      </c>
      <c r="G20" s="140">
        <f>0.69*'Цены на металл '!P4*1.5*1.2</f>
        <v>298.08</v>
      </c>
    </row>
    <row r="21" spans="1:11">
      <c r="A21" s="16" t="s">
        <v>1967</v>
      </c>
      <c r="B21" s="136">
        <f t="shared" si="0"/>
        <v>91.656000000000006</v>
      </c>
      <c r="C21" s="123">
        <f>0.8*'Цены на металл '!$G4*1.5*1.2</f>
        <v>96.48</v>
      </c>
      <c r="D21" s="138">
        <f t="shared" si="1"/>
        <v>143.63999999999999</v>
      </c>
      <c r="E21" s="124">
        <f>0.8*'Цены на металл '!J8*1.5*1.2</f>
        <v>151.19999999999999</v>
      </c>
      <c r="F21" s="139">
        <f t="shared" si="2"/>
        <v>293.76</v>
      </c>
      <c r="G21" s="140">
        <f>0.8*'Цены на металл '!P4*1.5*1.2</f>
        <v>345.59999999999997</v>
      </c>
    </row>
    <row r="22" spans="1:11">
      <c r="A22" s="16" t="s">
        <v>1968</v>
      </c>
      <c r="B22" s="136">
        <f t="shared" si="0"/>
        <v>139.77539999999996</v>
      </c>
      <c r="C22" s="123">
        <f>1.22*'Цены на металл '!$G4*1.5*1.2</f>
        <v>147.13199999999998</v>
      </c>
      <c r="D22" s="138">
        <f t="shared" si="1"/>
        <v>219.05099999999996</v>
      </c>
      <c r="E22" s="124">
        <f>1.22*'Цены на металл '!J8*1.5*1.2</f>
        <v>230.57999999999996</v>
      </c>
      <c r="F22" s="139">
        <f t="shared" si="2"/>
        <v>447.98400000000004</v>
      </c>
      <c r="G22" s="140">
        <f>1.22*'Цены на металл '!P4*1.5*1.2</f>
        <v>527.04000000000008</v>
      </c>
    </row>
    <row r="23" spans="1:11">
      <c r="A23" s="16" t="s">
        <v>1969</v>
      </c>
      <c r="B23" s="136">
        <f t="shared" si="0"/>
        <v>160.39799999999997</v>
      </c>
      <c r="C23" s="123">
        <f>1.4*'Цены на металл '!$G4*1.5*1.2</f>
        <v>168.83999999999997</v>
      </c>
      <c r="D23" s="138">
        <f t="shared" si="1"/>
        <v>251.36999999999995</v>
      </c>
      <c r="E23" s="124">
        <f>1.4*'Цены на металл '!J8*1.5*1.2</f>
        <v>264.59999999999997</v>
      </c>
      <c r="F23" s="139">
        <f t="shared" si="2"/>
        <v>514.07999999999993</v>
      </c>
      <c r="G23" s="140">
        <f>1.4*'Цены на металл '!P4*1.5*1.2</f>
        <v>604.79999999999995</v>
      </c>
    </row>
    <row r="24" spans="1:11">
      <c r="A24" s="19" t="s">
        <v>2007</v>
      </c>
      <c r="B24" s="93" t="s">
        <v>770</v>
      </c>
      <c r="C24" s="93">
        <f>123*'Цены на металл '!B11</f>
        <v>126.69</v>
      </c>
      <c r="D24" s="138" t="s">
        <v>770</v>
      </c>
      <c r="E24" s="141">
        <v>173</v>
      </c>
      <c r="F24" s="140" t="s">
        <v>770</v>
      </c>
      <c r="G24" s="140">
        <v>518</v>
      </c>
    </row>
    <row r="25" spans="1:11">
      <c r="A25" s="19" t="s">
        <v>2008</v>
      </c>
      <c r="B25" s="93" t="s">
        <v>770</v>
      </c>
      <c r="C25" s="93">
        <f>126*'Цены на металл '!B11</f>
        <v>129.78</v>
      </c>
      <c r="D25" s="138" t="s">
        <v>770</v>
      </c>
      <c r="E25" s="141">
        <v>177</v>
      </c>
      <c r="F25" s="140" t="s">
        <v>770</v>
      </c>
      <c r="G25" s="140">
        <v>532</v>
      </c>
    </row>
    <row r="26" spans="1:11">
      <c r="A26" s="19" t="s">
        <v>2009</v>
      </c>
      <c r="B26" s="93" t="s">
        <v>770</v>
      </c>
      <c r="C26" s="93">
        <f>153*'Цены на металл '!B11</f>
        <v>157.59</v>
      </c>
      <c r="D26" s="138" t="s">
        <v>770</v>
      </c>
      <c r="E26" s="141">
        <v>215</v>
      </c>
      <c r="F26" s="140" t="s">
        <v>770</v>
      </c>
      <c r="G26" s="140">
        <v>644</v>
      </c>
    </row>
    <row r="27" spans="1:11">
      <c r="A27" s="19" t="s">
        <v>2010</v>
      </c>
      <c r="B27" s="93" t="s">
        <v>770</v>
      </c>
      <c r="C27" s="93">
        <f>187*'Цены на металл '!B11</f>
        <v>192.61</v>
      </c>
      <c r="D27" s="138" t="s">
        <v>770</v>
      </c>
      <c r="E27" s="141">
        <v>261</v>
      </c>
      <c r="F27" s="140" t="s">
        <v>770</v>
      </c>
      <c r="G27" s="140">
        <v>785</v>
      </c>
    </row>
    <row r="28" spans="1:11">
      <c r="A28" s="19" t="s">
        <v>2011</v>
      </c>
      <c r="B28" s="93" t="s">
        <v>770</v>
      </c>
      <c r="C28" s="93">
        <f>220*'Цены на металл '!B11</f>
        <v>226.6</v>
      </c>
      <c r="D28" s="138" t="s">
        <v>770</v>
      </c>
      <c r="E28" s="141">
        <v>309</v>
      </c>
      <c r="F28" s="140" t="s">
        <v>770</v>
      </c>
      <c r="G28" s="140">
        <v>925</v>
      </c>
    </row>
    <row r="29" spans="1:11">
      <c r="A29" s="19" t="s">
        <v>2012</v>
      </c>
      <c r="B29" s="93" t="s">
        <v>770</v>
      </c>
      <c r="C29" s="93">
        <f>241*'Цены на металл '!B11</f>
        <v>248.23000000000002</v>
      </c>
      <c r="D29" s="138" t="s">
        <v>770</v>
      </c>
      <c r="E29" s="141">
        <v>337</v>
      </c>
      <c r="F29" s="140" t="s">
        <v>770</v>
      </c>
      <c r="G29" s="140">
        <v>1009</v>
      </c>
    </row>
    <row r="30" spans="1:11">
      <c r="A30" s="19" t="s">
        <v>2034</v>
      </c>
      <c r="B30" s="136" t="s">
        <v>770</v>
      </c>
      <c r="C30" s="136"/>
      <c r="D30" s="138" t="s">
        <v>770</v>
      </c>
      <c r="E30" s="184"/>
      <c r="F30" s="139" t="s">
        <v>770</v>
      </c>
      <c r="G30" s="139"/>
    </row>
    <row r="31" spans="1:11">
      <c r="A31" s="19" t="s">
        <v>2035</v>
      </c>
      <c r="B31" s="136" t="s">
        <v>770</v>
      </c>
      <c r="C31" s="136"/>
      <c r="D31" s="138" t="s">
        <v>770</v>
      </c>
      <c r="E31" s="184"/>
      <c r="F31" s="139" t="s">
        <v>770</v>
      </c>
      <c r="G31" s="139"/>
    </row>
    <row r="32" spans="1:11">
      <c r="A32" s="19" t="s">
        <v>2036</v>
      </c>
      <c r="B32" s="136" t="s">
        <v>770</v>
      </c>
      <c r="C32" s="136"/>
      <c r="D32" s="138" t="s">
        <v>770</v>
      </c>
      <c r="E32" s="184"/>
      <c r="F32" s="139" t="s">
        <v>770</v>
      </c>
      <c r="G32" s="139"/>
    </row>
    <row r="33" spans="1:7">
      <c r="A33" s="19" t="s">
        <v>2037</v>
      </c>
      <c r="B33" s="136" t="s">
        <v>770</v>
      </c>
      <c r="C33" s="136"/>
      <c r="D33" s="138" t="s">
        <v>770</v>
      </c>
      <c r="E33" s="184"/>
      <c r="F33" s="139" t="s">
        <v>770</v>
      </c>
      <c r="G33" s="139"/>
    </row>
    <row r="34" spans="1:7">
      <c r="A34" s="16" t="s">
        <v>2020</v>
      </c>
      <c r="B34" s="136" t="s">
        <v>770</v>
      </c>
      <c r="C34" s="137">
        <f>54*'Цены на металл '!B14</f>
        <v>54</v>
      </c>
      <c r="D34" s="138" t="s">
        <v>770</v>
      </c>
      <c r="E34" s="138">
        <f>C34*2</f>
        <v>108</v>
      </c>
      <c r="F34" s="139" t="s">
        <v>770</v>
      </c>
      <c r="G34" s="139">
        <f>C34*3</f>
        <v>162</v>
      </c>
    </row>
    <row r="35" spans="1:7">
      <c r="A35" s="16" t="s">
        <v>2021</v>
      </c>
      <c r="B35" s="136" t="s">
        <v>770</v>
      </c>
      <c r="C35" s="123">
        <f>61*'Цены на металл '!B14</f>
        <v>61</v>
      </c>
      <c r="D35" s="138" t="s">
        <v>770</v>
      </c>
      <c r="E35" s="138">
        <f t="shared" ref="E35:E39" si="3">C35*2</f>
        <v>122</v>
      </c>
      <c r="F35" s="139" t="s">
        <v>770</v>
      </c>
      <c r="G35" s="139">
        <f t="shared" ref="G35:G39" si="4">C35*3</f>
        <v>183</v>
      </c>
    </row>
    <row r="36" spans="1:7">
      <c r="A36" s="16" t="s">
        <v>2022</v>
      </c>
      <c r="B36" s="93" t="s">
        <v>770</v>
      </c>
      <c r="C36" s="142">
        <f>66.8*'Цены на металл '!B14</f>
        <v>66.8</v>
      </c>
      <c r="D36" s="124" t="s">
        <v>770</v>
      </c>
      <c r="E36" s="138">
        <f t="shared" si="3"/>
        <v>133.6</v>
      </c>
      <c r="F36" s="140" t="s">
        <v>770</v>
      </c>
      <c r="G36" s="139">
        <f t="shared" si="4"/>
        <v>200.39999999999998</v>
      </c>
    </row>
    <row r="37" spans="1:7">
      <c r="A37" s="16" t="s">
        <v>2023</v>
      </c>
      <c r="B37" s="93" t="s">
        <v>770</v>
      </c>
      <c r="C37" s="123">
        <f>80*'Цены на металл '!B14</f>
        <v>80</v>
      </c>
      <c r="D37" s="124" t="s">
        <v>770</v>
      </c>
      <c r="E37" s="138">
        <f t="shared" si="3"/>
        <v>160</v>
      </c>
      <c r="F37" s="140" t="s">
        <v>770</v>
      </c>
      <c r="G37" s="139">
        <f t="shared" si="4"/>
        <v>240</v>
      </c>
    </row>
    <row r="38" spans="1:7">
      <c r="A38" s="16" t="s">
        <v>2024</v>
      </c>
      <c r="B38" s="93" t="s">
        <v>770</v>
      </c>
      <c r="C38" s="123">
        <f>93.8*'Цены на металл '!B14</f>
        <v>93.8</v>
      </c>
      <c r="D38" s="124" t="s">
        <v>770</v>
      </c>
      <c r="E38" s="138">
        <f t="shared" si="3"/>
        <v>187.6</v>
      </c>
      <c r="F38" s="140" t="s">
        <v>770</v>
      </c>
      <c r="G38" s="139">
        <f t="shared" si="4"/>
        <v>281.39999999999998</v>
      </c>
    </row>
    <row r="39" spans="1:7">
      <c r="A39" s="16" t="s">
        <v>2025</v>
      </c>
      <c r="B39" s="93" t="s">
        <v>770</v>
      </c>
      <c r="C39" s="123">
        <f>107*'Цены на металл '!B14</f>
        <v>107</v>
      </c>
      <c r="D39" s="124" t="s">
        <v>770</v>
      </c>
      <c r="E39" s="138">
        <f t="shared" si="3"/>
        <v>214</v>
      </c>
      <c r="F39" s="140" t="s">
        <v>770</v>
      </c>
      <c r="G39" s="139">
        <f t="shared" si="4"/>
        <v>321</v>
      </c>
    </row>
    <row r="40" spans="1:7">
      <c r="A40" s="16" t="s">
        <v>1970</v>
      </c>
      <c r="B40" s="123">
        <f>'Цены на металл '!$W$3*7.85*'Цены на металл '!$F$3/1000*0.2*'Цены на металл '!$F$4*1.5+10</f>
        <v>29.716059999999995</v>
      </c>
      <c r="C40" s="123">
        <f>'Цены на металл '!$W$3*7.85*'Цены на металл '!$G$3/1000*0.2*'Цены на металл '!$G$4*1.5+10</f>
        <v>37.580817999999994</v>
      </c>
      <c r="D40" s="124">
        <f>'Цены на металл '!$W$3*7.85*'Цены на металл '!I3/1000*0.2*('Цены на металл '!I4*1.5+'Цены на металл '!I5)+10</f>
        <v>36.186971999999997</v>
      </c>
      <c r="E40" s="124">
        <f>'Цены на металл '!$W$3*7.85*'Цены на металл '!J3/1000*0.2*('Цены на металл '!J4*1.5+'Цены на металл '!J5)+10</f>
        <v>48.276599999999995</v>
      </c>
      <c r="F40" s="140">
        <f>'Цены на металл '!$W$3*7.85*1.5/1000*0.2*'Цены на металл '!O4*1.8+30</f>
        <v>123.59711999999999</v>
      </c>
      <c r="G40" s="140">
        <f>'Цены на металл '!$W$3*7.85*2/1000*0.2*'Цены на металл '!P4*1.8+30</f>
        <v>154.79615999999999</v>
      </c>
    </row>
    <row r="41" spans="1:7">
      <c r="A41" s="16" t="s">
        <v>2026</v>
      </c>
      <c r="B41" s="123">
        <f>'Цены на металл '!$W$3*7.85*'Цены на металл '!$F$3/1000*0.4*'Цены на металл '!$F$4*1.5+10</f>
        <v>49.432119999999991</v>
      </c>
      <c r="C41" s="123">
        <f>'Цены на металл '!$W$3*7.85*'Цены на металл '!$G$3/1000*0.4*'Цены на металл '!$G$4*1.5+10</f>
        <v>65.161635999999987</v>
      </c>
      <c r="D41" s="124">
        <f>'Цены на металл '!$W$3*7.85*'Цены на металл '!I3/1000*0.4*('Цены на металл '!I4*1.5+'Цены на металл '!I5)+10</f>
        <v>62.373943999999987</v>
      </c>
      <c r="E41" s="124">
        <f>'Цены на металл '!$W$3*7.85*'Цены на металл '!J3/1000*0.4*('Цены на металл '!J4*1.5+'Цены на металл '!J5)+10</f>
        <v>86.55319999999999</v>
      </c>
      <c r="F41" s="140">
        <f>'Цены на металл '!$W$3*7.85*1.5/1000*0.4*'Цены на металл '!O4*1.8+30</f>
        <v>217.19423999999998</v>
      </c>
      <c r="G41" s="140">
        <f>'Цены на металл '!$W$3*7.85*2/1000*0.4*'Цены на металл '!P4*1.8+30</f>
        <v>279.59231999999997</v>
      </c>
    </row>
    <row r="42" spans="1:7">
      <c r="A42" s="16" t="s">
        <v>1971</v>
      </c>
      <c r="B42" s="123">
        <f>'Цены на металл '!$W$3*7.85*'Цены на металл '!$F$3/1000*0.6*'Цены на металл '!$F$4*1.5+10</f>
        <v>69.148179999999982</v>
      </c>
      <c r="C42" s="123">
        <f>'Цены на металл '!$W$3*7.85*'Цены на металл '!$G$3/1000*0.6*'Цены на металл '!$G$4*1.5+10</f>
        <v>92.742453999999981</v>
      </c>
      <c r="D42" s="124">
        <f>'Цены на металл '!$W$3*7.85*'Цены на металл '!I3/1000*0.6*('Цены на металл '!I4*1.5+'Цены на металл '!I5)+10</f>
        <v>88.560915999999978</v>
      </c>
      <c r="E42" s="124">
        <f>'Цены на металл '!$W$3*7.85*'Цены на металл '!J3/1000*0.6*('Цены на металл '!J4*1.5+'Цены на металл '!J5)+10</f>
        <v>124.82979999999999</v>
      </c>
      <c r="F42" s="140">
        <f>'Цены на металл '!$W$3*7.85*1.5/1000*0.6*'Цены на металл '!O4*1.8+30</f>
        <v>310.79136</v>
      </c>
      <c r="G42" s="140">
        <f>'Цены на металл '!$W$3*7.85*2/1000*0.6*'Цены на металл '!P4*1.8+30</f>
        <v>404.38847999999996</v>
      </c>
    </row>
    <row r="43" spans="1:7">
      <c r="A43" s="16" t="s">
        <v>1972</v>
      </c>
      <c r="B43" s="123">
        <f>'Цены на металл '!$W$3*7.85*'Цены на металл '!$F$3/1000*0.8*'Цены на металл '!$F$4*1.5+10</f>
        <v>88.864239999999981</v>
      </c>
      <c r="C43" s="123">
        <f>'Цены на металл '!$W$3*7.85*'Цены на металл '!$G$3/1000*0.8*'Цены на металл '!$G$4*1.5+10</f>
        <v>120.32327199999999</v>
      </c>
      <c r="D43" s="124">
        <f>'Цены на металл '!$W$3*7.85*'Цены на металл '!I3/1000*0.8*('Цены на металл '!I4*1.5+'Цены на металл '!I5)+10</f>
        <v>114.74788799999997</v>
      </c>
      <c r="E43" s="124">
        <f>'Цены на металл '!$W$3*7.85*'Цены на металл '!J3/1000*0.8*('Цены на металл '!J4*1.5+'Цены на металл '!J5)+10</f>
        <v>163.10639999999998</v>
      </c>
      <c r="F43" s="140">
        <f>'Цены на металл '!$W$3*7.85*1.5/1000*0.8*'Цены на металл '!O4*1.8+30</f>
        <v>404.38847999999996</v>
      </c>
      <c r="G43" s="140">
        <f>'Цены на металл '!$W$3*7.85*2/1000*0.8*'Цены на металл '!P4*1.8+30</f>
        <v>529.18463999999994</v>
      </c>
    </row>
    <row r="44" spans="1:7">
      <c r="A44" s="16" t="s">
        <v>1973</v>
      </c>
      <c r="B44" s="123">
        <f>'Цены на металл '!$W$3*7.85*'Цены на металл '!$F$3/1000*1*'Цены на металл '!$F$4*1.5+10</f>
        <v>108.58029999999997</v>
      </c>
      <c r="C44" s="123">
        <f>'Цены на металл '!$W$3*7.85*'Цены на металл '!$G$3/1000*1*'Цены на металл '!$G$4*1.5+10</f>
        <v>147.90408999999997</v>
      </c>
      <c r="D44" s="124">
        <f>'Цены на металл '!$W$3*7.85*'Цены на металл '!I3/1000*1*('Цены на металл '!I4*1.5+'Цены на металл '!I5)+10</f>
        <v>140.93485999999996</v>
      </c>
      <c r="E44" s="124">
        <f>'Цены на металл '!$W$3*7.85*'Цены на металл '!J3/1000*1*('Цены на металл '!J4*1.5+'Цены на металл '!J5)+10</f>
        <v>201.38299999999998</v>
      </c>
      <c r="F44" s="140">
        <f>'Цены на металл '!$W$3*7.85*1.5/1000*1*'Цены на металл '!O4*1.8+30</f>
        <v>497.98559999999992</v>
      </c>
      <c r="G44" s="140">
        <f>'Цены на металл '!$W$3*7.85*2/1000*1*'Цены на металл '!P4*1.8+30</f>
        <v>653.98079999999993</v>
      </c>
    </row>
    <row r="45" spans="1:7">
      <c r="A45" s="16" t="s">
        <v>1974</v>
      </c>
      <c r="B45" s="123">
        <f>'Цены на металл '!$W$3*7.85*'Цены на металл '!$F$3/1000*2*'Цены на металл '!$F$4*1.5</f>
        <v>197.16059999999993</v>
      </c>
      <c r="C45" s="123">
        <f>'Цены на металл '!$W$3*7.85*'Цены на металл '!$G$3/1000*2*'Цены на металл '!$G$4*1.5</f>
        <v>275.80817999999994</v>
      </c>
      <c r="D45" s="124">
        <f>'Цены на металл '!$W$3*7.85*'Цены на металл '!I3/1000*2*('Цены на металл '!I4*1.5+'Цены на металл '!I5)</f>
        <v>261.86971999999992</v>
      </c>
      <c r="E45" s="124">
        <f>'Цены на металл '!$W$3*7.85*'Цены на металл '!J3/1000*2*('Цены на металл '!J4*1.5+'Цены на металл '!J5)</f>
        <v>382.76599999999996</v>
      </c>
      <c r="F45" s="140">
        <f>'Цены на металл '!$W$3*7.85*1.5/1000*2*'Цены на металл '!O4*1.8</f>
        <v>935.97119999999984</v>
      </c>
      <c r="G45" s="140">
        <f>'Цены на металл '!$W$3*7.85*2/1000*2*'Цены на металл '!P4*1.8+30</f>
        <v>1277.9615999999999</v>
      </c>
    </row>
    <row r="46" spans="1:7">
      <c r="A46" s="16" t="s">
        <v>1975</v>
      </c>
      <c r="B46" s="123">
        <f>'Цены на металл '!$W$3*7.85*'Цены на металл '!$F$3/1000*3*'Цены на металл '!$F$4*1.5</f>
        <v>295.74089999999995</v>
      </c>
      <c r="C46" s="123">
        <f>'Цены на металл '!$W$3*7.85*'Цены на металл '!$G$3/1000*3*'Цены на металл '!$G$4*1.5</f>
        <v>413.71226999999988</v>
      </c>
      <c r="D46" s="124">
        <f>'Цены на металл '!$W$3*7.85*'Цены на металл '!I3/1000*3*('Цены на металл '!I4*1.5+'Цены на металл '!I5)</f>
        <v>392.80457999999993</v>
      </c>
      <c r="E46" s="124">
        <f>'Цены на металл '!$W$3*7.85*'Цены на металл '!J3/1000*3*('Цены на металл '!J4*1.5+'Цены на металл '!J5)</f>
        <v>574.149</v>
      </c>
      <c r="F46" s="140">
        <f>'Цены на металл '!$W$3*7.85*1.5/1000*3*'Цены на металл '!O4*1.8</f>
        <v>1403.9567999999999</v>
      </c>
      <c r="G46" s="140">
        <f>'Цены на металл '!$W$3*7.85*2/1000*3*'Цены на металл '!P4*1.8+30</f>
        <v>1901.9423999999997</v>
      </c>
    </row>
    <row r="47" spans="1:7">
      <c r="A47" s="100" t="s">
        <v>1976</v>
      </c>
      <c r="B47" s="93" t="s">
        <v>770</v>
      </c>
      <c r="C47" s="123">
        <f>0.2*'Цены на металл '!G4*1.5*2</f>
        <v>40.200000000000003</v>
      </c>
      <c r="D47" s="124" t="s">
        <v>770</v>
      </c>
      <c r="E47" s="124">
        <f>0.2*('Цены на металл '!J4+'Цены на металл '!J5)*1.5*2</f>
        <v>62.400000000000006</v>
      </c>
      <c r="F47" s="140" t="s">
        <v>770</v>
      </c>
      <c r="G47" s="140">
        <f>0.2*'Цены на металл '!P4*1.5*2</f>
        <v>144</v>
      </c>
    </row>
    <row r="48" spans="1:7">
      <c r="A48" s="17" t="s">
        <v>2001</v>
      </c>
      <c r="B48" s="93" t="s">
        <v>770</v>
      </c>
      <c r="C48" s="123">
        <f>0.09*'Цены на металл '!G4*1.5*1.5</f>
        <v>13.567499999999997</v>
      </c>
      <c r="D48" s="124" t="s">
        <v>770</v>
      </c>
      <c r="E48" s="124">
        <f>0.09*('Цены на металл '!J4+'Цены на металл '!J5)*1.5*2</f>
        <v>28.08</v>
      </c>
      <c r="F48" s="140" t="s">
        <v>770</v>
      </c>
      <c r="G48" s="140">
        <f>0.09*'Цены на металл '!P4*1.5*2</f>
        <v>64.8</v>
      </c>
    </row>
    <row r="49" spans="1:7">
      <c r="A49" s="18" t="s">
        <v>1977</v>
      </c>
      <c r="B49" s="93" t="s">
        <v>770</v>
      </c>
      <c r="C49" s="123">
        <f>0.42*'Цены на металл '!G4*1.5*1.5</f>
        <v>63.314999999999998</v>
      </c>
      <c r="D49" s="124" t="s">
        <v>770</v>
      </c>
      <c r="E49" s="124">
        <f>0.42*('Цены на металл '!J4+'Цены на металл '!J5)*1.5*1.5</f>
        <v>98.28</v>
      </c>
      <c r="F49" s="140" t="s">
        <v>770</v>
      </c>
      <c r="G49" s="140">
        <f>0.42*'Цены на металл '!P4*1.5*2</f>
        <v>302.39999999999998</v>
      </c>
    </row>
    <row r="50" spans="1:7">
      <c r="A50" s="18" t="s">
        <v>1978</v>
      </c>
      <c r="B50" s="93" t="s">
        <v>770</v>
      </c>
      <c r="C50" s="123">
        <f>0.29*'Цены на металл '!G4*1.5*1.3</f>
        <v>37.888500000000001</v>
      </c>
      <c r="D50" s="124" t="s">
        <v>770</v>
      </c>
      <c r="E50" s="124">
        <f>0.29*('Цены на металл '!J4+'Цены на металл '!J5)*1.5*1.3</f>
        <v>58.811999999999998</v>
      </c>
      <c r="F50" s="140" t="s">
        <v>770</v>
      </c>
      <c r="G50" s="140">
        <f>0.29*'Цены на металл '!P4*1.5*2</f>
        <v>208.79999999999998</v>
      </c>
    </row>
    <row r="51" spans="1:7">
      <c r="A51" s="19" t="s">
        <v>2002</v>
      </c>
      <c r="B51" s="93" t="s">
        <v>770</v>
      </c>
      <c r="C51" s="123">
        <f>0.25*'Цены на металл '!G4*1.5*1.3</f>
        <v>32.662500000000001</v>
      </c>
      <c r="D51" s="124" t="s">
        <v>770</v>
      </c>
      <c r="E51" s="124">
        <f>0.25*('Цены на металл '!J4+'Цены на металл '!J5)*1.5*1.3</f>
        <v>50.7</v>
      </c>
      <c r="F51" s="140" t="s">
        <v>770</v>
      </c>
      <c r="G51" s="140">
        <f>0.25*'Цены на металл '!P4*1.5*2</f>
        <v>180</v>
      </c>
    </row>
    <row r="52" spans="1:7">
      <c r="A52" s="19" t="s">
        <v>2003</v>
      </c>
      <c r="B52" s="93" t="s">
        <v>770</v>
      </c>
      <c r="C52" s="123">
        <f>0.35*'Цены на металл '!G4*1.5*1.3</f>
        <v>45.727499999999999</v>
      </c>
      <c r="D52" s="124" t="s">
        <v>770</v>
      </c>
      <c r="E52" s="124">
        <f>0.35*('Цены на металл '!J4+'Цены на металл '!J5)*1.5*1.3</f>
        <v>70.97999999999999</v>
      </c>
      <c r="F52" s="140" t="s">
        <v>770</v>
      </c>
      <c r="G52" s="140">
        <f>0.35*'Цены на металл '!P4*1.5*2</f>
        <v>252</v>
      </c>
    </row>
    <row r="53" spans="1:7">
      <c r="A53" s="19" t="s">
        <v>2004</v>
      </c>
      <c r="B53" s="93" t="s">
        <v>770</v>
      </c>
      <c r="C53" s="123">
        <f>0.43*'Цены на металл '!G4*1.5*1.3</f>
        <v>56.179499999999997</v>
      </c>
      <c r="D53" s="124" t="s">
        <v>770</v>
      </c>
      <c r="E53" s="124">
        <f>0.43*('Цены на металл '!J4+'Цены на металл '!J5)*1.5*1.3</f>
        <v>87.204000000000008</v>
      </c>
      <c r="F53" s="140" t="s">
        <v>770</v>
      </c>
      <c r="G53" s="140">
        <f>0.43*'Цены на металл '!P4*1.5*2</f>
        <v>309.60000000000002</v>
      </c>
    </row>
    <row r="54" spans="1:7">
      <c r="A54" s="19" t="s">
        <v>2005</v>
      </c>
      <c r="B54" s="93" t="s">
        <v>770</v>
      </c>
      <c r="C54" s="123">
        <f>0.51*'Цены на металл '!G4*1.5*1.3</f>
        <v>66.631500000000003</v>
      </c>
      <c r="D54" s="124" t="s">
        <v>770</v>
      </c>
      <c r="E54" s="124">
        <f>0.51*('Цены на металл '!J4+'Цены на металл '!J5)*1.5*1.3</f>
        <v>103.42800000000001</v>
      </c>
      <c r="F54" s="140" t="s">
        <v>770</v>
      </c>
      <c r="G54" s="140">
        <f>0.51*'Цены на металл '!P4*1.5*2</f>
        <v>367.20000000000005</v>
      </c>
    </row>
    <row r="55" spans="1:7">
      <c r="A55" s="19" t="s">
        <v>2006</v>
      </c>
      <c r="B55" s="93" t="s">
        <v>770</v>
      </c>
      <c r="C55" s="123">
        <f>0.58*'Цены на металл '!G4*1.5*1.3</f>
        <v>75.777000000000001</v>
      </c>
      <c r="D55" s="124" t="s">
        <v>770</v>
      </c>
      <c r="E55" s="124">
        <f>0.58*('Цены на металл '!J4+'Цены на металл '!J5)*1.5*1.3</f>
        <v>117.624</v>
      </c>
      <c r="F55" s="140" t="s">
        <v>770</v>
      </c>
      <c r="G55" s="140">
        <f>0.58*'Цены на металл '!P4*1.5*2</f>
        <v>417.59999999999997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1:C1"/>
    <mergeCell ref="D1:E1"/>
    <mergeCell ref="F1:G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/>
  <dimension ref="A1:X129"/>
  <sheetViews>
    <sheetView zoomScaleNormal="100" workbookViewId="0">
      <pane ySplit="1" topLeftCell="A2" activePane="bottomLeft" state="frozen"/>
      <selection pane="bottomLeft" activeCell="P1" sqref="P1:Q1"/>
    </sheetView>
  </sheetViews>
  <sheetFormatPr defaultRowHeight="14.3"/>
  <cols>
    <col min="1" max="1" width="48.875" bestFit="1" customWidth="1"/>
    <col min="2" max="2" width="8.125" customWidth="1"/>
    <col min="3" max="3" width="7.75" customWidth="1"/>
    <col min="4" max="4" width="9.25" customWidth="1"/>
    <col min="5" max="5" width="6.875" bestFit="1" customWidth="1"/>
    <col min="6" max="6" width="8.375" bestFit="1" customWidth="1"/>
    <col min="15" max="15" width="18.125" customWidth="1"/>
    <col min="16" max="16" width="14.125" customWidth="1"/>
    <col min="17" max="17" width="17.875" customWidth="1"/>
    <col min="18" max="18" width="15.625" customWidth="1"/>
  </cols>
  <sheetData>
    <row r="1" spans="1:24" ht="36" customHeight="1" thickBot="1">
      <c r="A1" s="246" t="s">
        <v>2</v>
      </c>
      <c r="B1" s="925" t="s">
        <v>2271</v>
      </c>
      <c r="C1" s="926"/>
      <c r="D1" s="926"/>
      <c r="E1" s="926"/>
      <c r="F1" s="927"/>
      <c r="G1" s="928" t="s">
        <v>2272</v>
      </c>
      <c r="H1" s="929"/>
      <c r="I1" s="930"/>
      <c r="J1" s="931" t="s">
        <v>3370</v>
      </c>
      <c r="K1" s="932"/>
      <c r="L1" s="932"/>
      <c r="M1" s="932"/>
      <c r="N1" s="933"/>
      <c r="O1" s="329" t="s">
        <v>2304</v>
      </c>
      <c r="P1" s="921" t="s">
        <v>3595</v>
      </c>
      <c r="Q1" s="922"/>
    </row>
    <row r="2" spans="1:24" ht="14.95" customHeight="1" thickBot="1">
      <c r="A2" s="247"/>
      <c r="B2" s="476">
        <v>0.7</v>
      </c>
      <c r="C2" s="477">
        <v>1</v>
      </c>
      <c r="D2" s="477">
        <v>1.2</v>
      </c>
      <c r="E2" s="477">
        <v>1.5</v>
      </c>
      <c r="F2" s="478">
        <v>2</v>
      </c>
      <c r="G2" s="663">
        <v>1.2</v>
      </c>
      <c r="H2" s="663">
        <v>1.5</v>
      </c>
      <c r="I2" s="664">
        <v>2</v>
      </c>
      <c r="J2" s="671">
        <v>0.8</v>
      </c>
      <c r="K2" s="672">
        <v>1</v>
      </c>
      <c r="L2" s="672">
        <v>1.2</v>
      </c>
      <c r="M2" s="672">
        <v>1.5</v>
      </c>
      <c r="N2" s="673">
        <v>2</v>
      </c>
      <c r="O2" s="487"/>
      <c r="P2" s="350"/>
      <c r="T2" s="13"/>
      <c r="U2" s="13"/>
      <c r="V2" s="13"/>
      <c r="W2" s="13"/>
      <c r="X2" s="13"/>
    </row>
    <row r="3" spans="1:24">
      <c r="A3" s="479" t="s">
        <v>2256</v>
      </c>
      <c r="B3" s="468">
        <v>15</v>
      </c>
      <c r="C3" s="468">
        <v>19.182344999999998</v>
      </c>
      <c r="D3" s="468">
        <v>23.059627500000005</v>
      </c>
      <c r="E3" s="468">
        <v>28.773517500000001</v>
      </c>
      <c r="F3" s="468">
        <v>38.364689999999996</v>
      </c>
      <c r="G3" s="665">
        <v>29.977515750000006</v>
      </c>
      <c r="H3" s="665">
        <v>37.405572750000005</v>
      </c>
      <c r="I3" s="665">
        <v>49.874096999999999</v>
      </c>
      <c r="J3" s="674">
        <v>63.16375</v>
      </c>
      <c r="K3" s="674">
        <v>91.344500000000011</v>
      </c>
      <c r="L3" s="674">
        <v>109.80774999999998</v>
      </c>
      <c r="M3" s="674">
        <v>137.01675</v>
      </c>
      <c r="N3" s="675">
        <v>182.68900000000002</v>
      </c>
      <c r="O3" s="488"/>
    </row>
    <row r="4" spans="1:24">
      <c r="A4" s="480" t="s">
        <v>2257</v>
      </c>
      <c r="B4" s="469">
        <v>21.223019999999998</v>
      </c>
      <c r="C4" s="469">
        <v>30.691752000000001</v>
      </c>
      <c r="D4" s="469">
        <v>36.895404000000006</v>
      </c>
      <c r="E4" s="469">
        <v>46.037627999999998</v>
      </c>
      <c r="F4" s="469">
        <v>61.383504000000002</v>
      </c>
      <c r="G4" s="666">
        <v>47.964025200000009</v>
      </c>
      <c r="H4" s="666">
        <v>59.8489164</v>
      </c>
      <c r="I4" s="666">
        <v>79.79855520000001</v>
      </c>
      <c r="J4" s="676">
        <v>101.062</v>
      </c>
      <c r="K4" s="676">
        <v>146.15119999999999</v>
      </c>
      <c r="L4" s="676">
        <v>175.69240000000005</v>
      </c>
      <c r="M4" s="676">
        <v>219.22679999999997</v>
      </c>
      <c r="N4" s="676">
        <v>292.30239999999998</v>
      </c>
    </row>
    <row r="5" spans="1:24">
      <c r="A5" s="480" t="s">
        <v>2258</v>
      </c>
      <c r="B5" s="469">
        <v>26.528775</v>
      </c>
      <c r="C5" s="469">
        <v>38.364689999999996</v>
      </c>
      <c r="D5" s="469">
        <v>46.119255000000017</v>
      </c>
      <c r="E5" s="469">
        <v>57.547034999999994</v>
      </c>
      <c r="F5" s="469">
        <v>76.729379999999992</v>
      </c>
      <c r="G5" s="666">
        <v>59.955031500000025</v>
      </c>
      <c r="H5" s="666">
        <v>74.811145499999995</v>
      </c>
      <c r="I5" s="666">
        <v>99.748193999999998</v>
      </c>
      <c r="J5" s="676">
        <v>126.3275</v>
      </c>
      <c r="K5" s="676">
        <v>182.68900000000002</v>
      </c>
      <c r="L5" s="676">
        <v>219.61550000000005</v>
      </c>
      <c r="M5" s="676">
        <v>274.03349999999995</v>
      </c>
      <c r="N5" s="676">
        <v>365.37800000000004</v>
      </c>
    </row>
    <row r="6" spans="1:24">
      <c r="A6" s="480" t="s">
        <v>2259</v>
      </c>
      <c r="B6" s="469">
        <v>39.793162500000001</v>
      </c>
      <c r="C6" s="469">
        <v>57.547035000000001</v>
      </c>
      <c r="D6" s="469">
        <v>69.178882500000029</v>
      </c>
      <c r="E6" s="469">
        <v>86.320552500000005</v>
      </c>
      <c r="F6" s="469">
        <v>115.09407</v>
      </c>
      <c r="G6" s="666">
        <v>89.932547250000042</v>
      </c>
      <c r="H6" s="666">
        <v>112.21671825000001</v>
      </c>
      <c r="I6" s="666">
        <v>149.62229100000002</v>
      </c>
      <c r="J6" s="676">
        <v>189.49124999999998</v>
      </c>
      <c r="K6" s="676">
        <v>274.0335</v>
      </c>
      <c r="L6" s="676">
        <v>329.42325000000011</v>
      </c>
      <c r="M6" s="676">
        <v>411.05024999999995</v>
      </c>
      <c r="N6" s="676">
        <v>548.06700000000001</v>
      </c>
    </row>
    <row r="7" spans="1:24" ht="14.95" thickBot="1">
      <c r="A7" s="481" t="s">
        <v>2260</v>
      </c>
      <c r="B7" s="470">
        <v>53.057549999999999</v>
      </c>
      <c r="C7" s="470">
        <v>76.729379999999992</v>
      </c>
      <c r="D7" s="470">
        <v>92.238510000000048</v>
      </c>
      <c r="E7" s="470">
        <v>115.09406999999999</v>
      </c>
      <c r="F7" s="470">
        <v>153.45875999999998</v>
      </c>
      <c r="G7" s="667">
        <v>119.91006300000006</v>
      </c>
      <c r="H7" s="667">
        <v>149.62229099999999</v>
      </c>
      <c r="I7" s="667">
        <v>199.496388</v>
      </c>
      <c r="J7" s="677">
        <v>252.655</v>
      </c>
      <c r="K7" s="677">
        <v>365.37800000000004</v>
      </c>
      <c r="L7" s="677">
        <v>439.23100000000017</v>
      </c>
      <c r="M7" s="677">
        <v>548.06699999999989</v>
      </c>
      <c r="N7" s="677">
        <v>730.75600000000009</v>
      </c>
    </row>
    <row r="8" spans="1:24">
      <c r="A8" s="479" t="s">
        <v>2261</v>
      </c>
      <c r="B8" s="471">
        <v>11.700000000000001</v>
      </c>
      <c r="C8" s="471">
        <v>16.680300000000003</v>
      </c>
      <c r="D8" s="471">
        <v>20.051850000000002</v>
      </c>
      <c r="E8" s="471">
        <v>25.020449999999997</v>
      </c>
      <c r="F8" s="471">
        <v>33.360600000000005</v>
      </c>
      <c r="G8" s="665">
        <v>26.067405000000004</v>
      </c>
      <c r="H8" s="665">
        <v>32.526584999999997</v>
      </c>
      <c r="I8" s="665">
        <v>43.368780000000008</v>
      </c>
      <c r="J8" s="674">
        <v>54.925000000000004</v>
      </c>
      <c r="K8" s="674">
        <v>79.430000000000007</v>
      </c>
      <c r="L8" s="674">
        <v>95.485000000000014</v>
      </c>
      <c r="M8" s="674">
        <v>119.14500000000001</v>
      </c>
      <c r="N8" s="674">
        <v>158.86000000000001</v>
      </c>
    </row>
    <row r="9" spans="1:24">
      <c r="A9" s="480" t="s">
        <v>2262</v>
      </c>
      <c r="B9" s="472">
        <v>18.454799999999999</v>
      </c>
      <c r="C9" s="472">
        <v>26.688480000000002</v>
      </c>
      <c r="D9" s="472">
        <v>32.08296</v>
      </c>
      <c r="E9" s="472">
        <v>40.032719999999998</v>
      </c>
      <c r="F9" s="472">
        <v>53.376960000000004</v>
      </c>
      <c r="G9" s="666">
        <v>41.707847999999998</v>
      </c>
      <c r="H9" s="666">
        <v>52.042535999999998</v>
      </c>
      <c r="I9" s="666">
        <v>69.390048000000007</v>
      </c>
      <c r="J9" s="676">
        <v>87.88</v>
      </c>
      <c r="K9" s="676">
        <v>127.08799999999999</v>
      </c>
      <c r="L9" s="676">
        <v>152.77600000000001</v>
      </c>
      <c r="M9" s="676">
        <v>190.63199999999998</v>
      </c>
      <c r="N9" s="676">
        <v>254.17599999999999</v>
      </c>
    </row>
    <row r="10" spans="1:24">
      <c r="A10" s="480" t="s">
        <v>2263</v>
      </c>
      <c r="B10" s="472">
        <v>23.068500000000004</v>
      </c>
      <c r="C10" s="472">
        <v>33.360600000000005</v>
      </c>
      <c r="D10" s="472">
        <v>40.103700000000011</v>
      </c>
      <c r="E10" s="472">
        <v>50.040899999999993</v>
      </c>
      <c r="F10" s="472">
        <v>66.72120000000001</v>
      </c>
      <c r="G10" s="666">
        <v>52.134810000000016</v>
      </c>
      <c r="H10" s="666">
        <v>65.053169999999994</v>
      </c>
      <c r="I10" s="666">
        <v>86.737560000000016</v>
      </c>
      <c r="J10" s="676">
        <v>109.85000000000001</v>
      </c>
      <c r="K10" s="676">
        <v>158.86000000000001</v>
      </c>
      <c r="L10" s="676">
        <v>190.97000000000006</v>
      </c>
      <c r="M10" s="676">
        <v>238.28999999999994</v>
      </c>
      <c r="N10" s="676">
        <v>317.72000000000003</v>
      </c>
    </row>
    <row r="11" spans="1:24">
      <c r="A11" s="480" t="s">
        <v>2264</v>
      </c>
      <c r="B11" s="472">
        <v>34.602750000000007</v>
      </c>
      <c r="C11" s="472">
        <v>50.040899999999993</v>
      </c>
      <c r="D11" s="472">
        <v>60.155550000000027</v>
      </c>
      <c r="E11" s="472">
        <v>75.061350000000004</v>
      </c>
      <c r="F11" s="472">
        <v>100.08179999999999</v>
      </c>
      <c r="G11" s="666">
        <v>78.202215000000038</v>
      </c>
      <c r="H11" s="666">
        <v>97.579755000000006</v>
      </c>
      <c r="I11" s="666">
        <v>130.10633999999999</v>
      </c>
      <c r="J11" s="676">
        <v>164.77500000000001</v>
      </c>
      <c r="K11" s="676">
        <v>238.29000000000002</v>
      </c>
      <c r="L11" s="676">
        <v>286.4550000000001</v>
      </c>
      <c r="M11" s="676">
        <v>357.435</v>
      </c>
      <c r="N11" s="676">
        <v>476.58000000000004</v>
      </c>
    </row>
    <row r="12" spans="1:24" ht="14.95" thickBot="1">
      <c r="A12" s="481" t="s">
        <v>2265</v>
      </c>
      <c r="B12" s="473">
        <v>46.137000000000008</v>
      </c>
      <c r="C12" s="473">
        <v>66.72120000000001</v>
      </c>
      <c r="D12" s="473">
        <v>80.207400000000035</v>
      </c>
      <c r="E12" s="473">
        <v>100.08179999999999</v>
      </c>
      <c r="F12" s="473">
        <v>133.44240000000002</v>
      </c>
      <c r="G12" s="667">
        <v>104.26962000000005</v>
      </c>
      <c r="H12" s="667">
        <v>130.10633999999999</v>
      </c>
      <c r="I12" s="667">
        <v>173.47512000000003</v>
      </c>
      <c r="J12" s="677">
        <v>219.70000000000002</v>
      </c>
      <c r="K12" s="677">
        <v>317.72000000000003</v>
      </c>
      <c r="L12" s="677">
        <v>381.94000000000017</v>
      </c>
      <c r="M12" s="677">
        <v>476.57999999999987</v>
      </c>
      <c r="N12" s="677">
        <v>635.44000000000005</v>
      </c>
    </row>
    <row r="13" spans="1:24">
      <c r="A13" s="482" t="s">
        <v>2266</v>
      </c>
      <c r="B13" s="474" t="s">
        <v>770</v>
      </c>
      <c r="C13" s="474" t="s">
        <v>770</v>
      </c>
      <c r="D13" s="474">
        <v>50.129625000000004</v>
      </c>
      <c r="E13" s="474">
        <v>62.551125000000013</v>
      </c>
      <c r="F13" s="474">
        <v>83.401499999999999</v>
      </c>
      <c r="G13" s="666">
        <v>65.168512500000006</v>
      </c>
      <c r="H13" s="666">
        <v>81.316462500000014</v>
      </c>
      <c r="I13" s="666">
        <v>108.42195</v>
      </c>
      <c r="J13" s="676" t="s">
        <v>770</v>
      </c>
      <c r="K13" s="676" t="s">
        <v>770</v>
      </c>
      <c r="L13" s="676">
        <v>238.71250000000001</v>
      </c>
      <c r="M13" s="676">
        <v>297.86250000000001</v>
      </c>
      <c r="N13" s="676">
        <v>397.15000000000003</v>
      </c>
    </row>
    <row r="14" spans="1:24">
      <c r="A14" s="480" t="s">
        <v>2267</v>
      </c>
      <c r="B14" s="472" t="s">
        <v>770</v>
      </c>
      <c r="C14" s="472" t="s">
        <v>770</v>
      </c>
      <c r="D14" s="472">
        <v>80.207400000000007</v>
      </c>
      <c r="E14" s="472">
        <v>100.08179999999999</v>
      </c>
      <c r="F14" s="472">
        <v>133.44239999999999</v>
      </c>
      <c r="G14" s="666">
        <v>104.26962000000002</v>
      </c>
      <c r="H14" s="666">
        <v>130.10633999999999</v>
      </c>
      <c r="I14" s="666">
        <v>173.47512</v>
      </c>
      <c r="J14" s="676" t="s">
        <v>770</v>
      </c>
      <c r="K14" s="676" t="s">
        <v>770</v>
      </c>
      <c r="L14" s="676">
        <v>381.94000000000005</v>
      </c>
      <c r="M14" s="676">
        <v>476.58000000000004</v>
      </c>
      <c r="N14" s="676">
        <v>635.43999999999994</v>
      </c>
    </row>
    <row r="15" spans="1:24">
      <c r="A15" s="480" t="s">
        <v>2268</v>
      </c>
      <c r="B15" s="472" t="s">
        <v>770</v>
      </c>
      <c r="C15" s="472" t="s">
        <v>770</v>
      </c>
      <c r="D15" s="472">
        <v>100.25925000000002</v>
      </c>
      <c r="E15" s="472">
        <v>125.10224999999997</v>
      </c>
      <c r="F15" s="472">
        <v>166.803</v>
      </c>
      <c r="G15" s="666">
        <v>130.33702500000004</v>
      </c>
      <c r="H15" s="666">
        <v>162.63292499999997</v>
      </c>
      <c r="I15" s="666">
        <v>216.84389999999999</v>
      </c>
      <c r="J15" s="676" t="s">
        <v>770</v>
      </c>
      <c r="K15" s="676" t="s">
        <v>770</v>
      </c>
      <c r="L15" s="676">
        <v>477.42500000000007</v>
      </c>
      <c r="M15" s="676">
        <v>595.72499999999991</v>
      </c>
      <c r="N15" s="676">
        <v>794.30000000000007</v>
      </c>
    </row>
    <row r="16" spans="1:24">
      <c r="A16" s="480" t="s">
        <v>2269</v>
      </c>
      <c r="B16" s="472" t="s">
        <v>770</v>
      </c>
      <c r="C16" s="472" t="s">
        <v>770</v>
      </c>
      <c r="D16" s="472">
        <v>150.38887500000007</v>
      </c>
      <c r="E16" s="472">
        <v>187.65337500000001</v>
      </c>
      <c r="F16" s="472">
        <v>250.20450000000005</v>
      </c>
      <c r="G16" s="666">
        <v>195.50553750000009</v>
      </c>
      <c r="H16" s="666">
        <v>243.94938750000003</v>
      </c>
      <c r="I16" s="666">
        <v>325.26585000000006</v>
      </c>
      <c r="J16" s="676" t="s">
        <v>770</v>
      </c>
      <c r="K16" s="676" t="s">
        <v>770</v>
      </c>
      <c r="L16" s="676">
        <v>716.13750000000016</v>
      </c>
      <c r="M16" s="676">
        <v>893.58749999999998</v>
      </c>
      <c r="N16" s="676">
        <v>1191.45</v>
      </c>
    </row>
    <row r="17" spans="1:14" ht="14.95" thickBot="1">
      <c r="A17" s="483" t="s">
        <v>2270</v>
      </c>
      <c r="B17" s="473" t="s">
        <v>770</v>
      </c>
      <c r="C17" s="473" t="s">
        <v>770</v>
      </c>
      <c r="D17" s="475">
        <v>200.51850000000007</v>
      </c>
      <c r="E17" s="475">
        <v>250.20449999999994</v>
      </c>
      <c r="F17" s="475">
        <v>333.60599999999999</v>
      </c>
      <c r="G17" s="668">
        <v>260.67405000000008</v>
      </c>
      <c r="H17" s="668">
        <v>325.26584999999994</v>
      </c>
      <c r="I17" s="668">
        <v>433.68779999999998</v>
      </c>
      <c r="J17" s="678" t="s">
        <v>770</v>
      </c>
      <c r="K17" s="678" t="s">
        <v>770</v>
      </c>
      <c r="L17" s="678">
        <v>954.85000000000036</v>
      </c>
      <c r="M17" s="678">
        <v>1191.4499999999998</v>
      </c>
      <c r="N17" s="678">
        <v>1588.6000000000001</v>
      </c>
    </row>
    <row r="18" spans="1:14">
      <c r="A18" s="484" t="s">
        <v>2814</v>
      </c>
      <c r="B18" s="474" t="s">
        <v>770</v>
      </c>
      <c r="C18" s="474" t="s">
        <v>770</v>
      </c>
      <c r="D18" s="471">
        <v>60.155550000000019</v>
      </c>
      <c r="E18" s="471">
        <v>75.061350000000004</v>
      </c>
      <c r="F18" s="471">
        <v>100.08180000000002</v>
      </c>
      <c r="G18" s="665">
        <v>101.66287950000002</v>
      </c>
      <c r="H18" s="665">
        <v>126.85368149999999</v>
      </c>
      <c r="I18" s="665">
        <v>169.13824200000002</v>
      </c>
      <c r="J18" s="674" t="s">
        <v>770</v>
      </c>
      <c r="K18" s="674" t="s">
        <v>770</v>
      </c>
      <c r="L18" s="674">
        <v>372.39150000000006</v>
      </c>
      <c r="M18" s="674">
        <v>464.66550000000007</v>
      </c>
      <c r="N18" s="679">
        <v>619.55400000000009</v>
      </c>
    </row>
    <row r="19" spans="1:14">
      <c r="A19" s="485" t="s">
        <v>2815</v>
      </c>
      <c r="B19" s="472" t="s">
        <v>770</v>
      </c>
      <c r="C19" s="472" t="s">
        <v>770</v>
      </c>
      <c r="D19" s="472">
        <v>96.24888</v>
      </c>
      <c r="E19" s="472">
        <v>120.09816000000001</v>
      </c>
      <c r="F19" s="472">
        <v>160.13087999999999</v>
      </c>
      <c r="G19" s="669">
        <v>162.66060719999999</v>
      </c>
      <c r="H19" s="669">
        <v>202.96589040000001</v>
      </c>
      <c r="I19" s="669">
        <v>270.62118720000007</v>
      </c>
      <c r="J19" s="680" t="s">
        <v>770</v>
      </c>
      <c r="K19" s="680" t="s">
        <v>770</v>
      </c>
      <c r="L19" s="680">
        <v>595.82640000000004</v>
      </c>
      <c r="M19" s="680">
        <v>743.46479999999997</v>
      </c>
      <c r="N19" s="681">
        <v>991.28640000000007</v>
      </c>
    </row>
    <row r="20" spans="1:14">
      <c r="A20" s="485" t="s">
        <v>2816</v>
      </c>
      <c r="B20" s="472" t="s">
        <v>770</v>
      </c>
      <c r="C20" s="472" t="s">
        <v>770</v>
      </c>
      <c r="D20" s="472">
        <v>120.31110000000004</v>
      </c>
      <c r="E20" s="472">
        <v>150.12270000000001</v>
      </c>
      <c r="F20" s="472">
        <v>200.16360000000003</v>
      </c>
      <c r="G20" s="669">
        <v>203.32575900000006</v>
      </c>
      <c r="H20" s="669">
        <v>253.70736299999999</v>
      </c>
      <c r="I20" s="669">
        <v>338.27648400000004</v>
      </c>
      <c r="J20" s="680" t="s">
        <v>770</v>
      </c>
      <c r="K20" s="680" t="s">
        <v>770</v>
      </c>
      <c r="L20" s="680">
        <v>744.78300000000024</v>
      </c>
      <c r="M20" s="680">
        <v>929.33099999999979</v>
      </c>
      <c r="N20" s="681">
        <v>1239.1080000000002</v>
      </c>
    </row>
    <row r="21" spans="1:14">
      <c r="A21" s="485" t="s">
        <v>2817</v>
      </c>
      <c r="B21" s="472" t="s">
        <v>770</v>
      </c>
      <c r="C21" s="472" t="s">
        <v>770</v>
      </c>
      <c r="D21" s="472">
        <v>180.46665000000004</v>
      </c>
      <c r="E21" s="472">
        <v>225.18404999999998</v>
      </c>
      <c r="F21" s="472">
        <v>300.24540000000002</v>
      </c>
      <c r="G21" s="669">
        <v>304.98863850000015</v>
      </c>
      <c r="H21" s="669">
        <v>380.56104450000009</v>
      </c>
      <c r="I21" s="669">
        <v>507.41472599999997</v>
      </c>
      <c r="J21" s="680" t="s">
        <v>770</v>
      </c>
      <c r="K21" s="680" t="s">
        <v>770</v>
      </c>
      <c r="L21" s="680">
        <v>1117.1745000000003</v>
      </c>
      <c r="M21" s="680">
        <v>1393.9965000000002</v>
      </c>
      <c r="N21" s="681">
        <v>1858.6620000000003</v>
      </c>
    </row>
    <row r="22" spans="1:14" ht="14.95" thickBot="1">
      <c r="A22" s="486" t="s">
        <v>2818</v>
      </c>
      <c r="B22" s="473" t="s">
        <v>770</v>
      </c>
      <c r="C22" s="473" t="s">
        <v>770</v>
      </c>
      <c r="D22" s="473">
        <v>240.62220000000011</v>
      </c>
      <c r="E22" s="473">
        <v>300.24540000000002</v>
      </c>
      <c r="F22" s="473">
        <v>400.32720000000006</v>
      </c>
      <c r="G22" s="670">
        <v>406.65151800000024</v>
      </c>
      <c r="H22" s="670">
        <v>507.41472599999997</v>
      </c>
      <c r="I22" s="670">
        <v>676.55296800000008</v>
      </c>
      <c r="J22" s="677" t="s">
        <v>770</v>
      </c>
      <c r="K22" s="677" t="s">
        <v>770</v>
      </c>
      <c r="L22" s="677">
        <v>1489.5660000000009</v>
      </c>
      <c r="M22" s="677">
        <v>1858.6619999999996</v>
      </c>
      <c r="N22" s="682">
        <v>2478.2160000000003</v>
      </c>
    </row>
    <row r="25" spans="1:14">
      <c r="A25" s="923" t="s">
        <v>31</v>
      </c>
      <c r="B25" s="924"/>
      <c r="C25" s="15"/>
      <c r="D25" s="15"/>
    </row>
    <row r="26" spans="1:14">
      <c r="A26" s="260" t="s">
        <v>32</v>
      </c>
      <c r="B26" s="261">
        <v>1.7249999999999999</v>
      </c>
      <c r="C26" s="15"/>
      <c r="D26" s="15"/>
      <c r="G26" s="5"/>
    </row>
    <row r="27" spans="1:14">
      <c r="A27" s="260" t="s">
        <v>33</v>
      </c>
      <c r="B27" s="261">
        <v>3.3062499999999995</v>
      </c>
      <c r="C27" s="15"/>
      <c r="D27" s="15"/>
      <c r="G27" s="5"/>
    </row>
    <row r="28" spans="1:14">
      <c r="A28" s="260" t="s">
        <v>2307</v>
      </c>
      <c r="B28" s="261">
        <v>2.15625</v>
      </c>
      <c r="C28" s="15"/>
      <c r="D28" s="15"/>
      <c r="G28" s="5"/>
    </row>
    <row r="29" spans="1:14">
      <c r="A29" s="260" t="s">
        <v>2308</v>
      </c>
      <c r="B29" s="261">
        <v>1.8687499999999999</v>
      </c>
      <c r="C29" s="15"/>
      <c r="D29" s="15"/>
      <c r="G29" s="5"/>
    </row>
    <row r="30" spans="1:14">
      <c r="A30" s="260" t="s">
        <v>2309</v>
      </c>
      <c r="B30" s="261">
        <v>6.6124999999999989</v>
      </c>
      <c r="C30" s="15"/>
      <c r="D30" s="15"/>
      <c r="G30" s="5"/>
    </row>
    <row r="31" spans="1:14">
      <c r="A31" s="260" t="s">
        <v>2310</v>
      </c>
      <c r="B31" s="261">
        <v>7.6187499999999995</v>
      </c>
      <c r="C31" s="15"/>
      <c r="D31" s="15"/>
      <c r="G31" s="5"/>
    </row>
    <row r="32" spans="1:14">
      <c r="A32" s="260" t="s">
        <v>2311</v>
      </c>
      <c r="B32" s="261">
        <v>10.924999999999997</v>
      </c>
      <c r="C32" s="15"/>
      <c r="D32" s="15"/>
      <c r="G32" s="5"/>
    </row>
    <row r="33" spans="1:7">
      <c r="A33" s="260" t="s">
        <v>2312</v>
      </c>
      <c r="B33" s="261">
        <v>15.09375</v>
      </c>
      <c r="C33" s="15"/>
      <c r="D33" s="15"/>
      <c r="G33" s="5"/>
    </row>
    <row r="34" spans="1:7">
      <c r="A34" s="260" t="s">
        <v>2313</v>
      </c>
      <c r="B34" s="261">
        <v>13.656249999999998</v>
      </c>
      <c r="C34" s="15"/>
      <c r="D34" s="15"/>
      <c r="G34" s="5"/>
    </row>
    <row r="35" spans="1:7">
      <c r="A35" s="923" t="s">
        <v>34</v>
      </c>
      <c r="B35" s="924"/>
      <c r="C35" s="15"/>
      <c r="D35" s="15"/>
      <c r="G35" s="5"/>
    </row>
    <row r="36" spans="1:7">
      <c r="A36" s="260" t="s">
        <v>35</v>
      </c>
      <c r="B36" s="261">
        <v>0.71875</v>
      </c>
      <c r="C36" s="15"/>
      <c r="D36" s="15"/>
      <c r="G36" s="5"/>
    </row>
    <row r="37" spans="1:7">
      <c r="A37" s="260" t="s">
        <v>41</v>
      </c>
      <c r="B37" s="261">
        <v>1.4375</v>
      </c>
      <c r="C37" s="15"/>
      <c r="D37" s="15"/>
      <c r="G37" s="5"/>
    </row>
    <row r="38" spans="1:7">
      <c r="A38" s="260" t="s">
        <v>36</v>
      </c>
      <c r="B38" s="261">
        <v>1.3656249999999996</v>
      </c>
      <c r="C38" s="15"/>
      <c r="D38" s="15"/>
      <c r="G38" s="5"/>
    </row>
    <row r="39" spans="1:7">
      <c r="A39" s="260" t="s">
        <v>2314</v>
      </c>
      <c r="B39" s="261">
        <v>2.7312499999999993</v>
      </c>
      <c r="C39" s="15"/>
      <c r="D39" s="15"/>
      <c r="G39" s="5"/>
    </row>
    <row r="40" spans="1:7">
      <c r="A40" s="260" t="s">
        <v>37</v>
      </c>
      <c r="B40" s="261">
        <v>3.0187499999999998</v>
      </c>
      <c r="C40" s="15"/>
      <c r="D40" s="15"/>
      <c r="G40" s="5"/>
    </row>
    <row r="41" spans="1:7">
      <c r="A41" s="260" t="s">
        <v>2315</v>
      </c>
      <c r="B41" s="261">
        <v>4.3125</v>
      </c>
      <c r="C41" s="15"/>
      <c r="D41" s="15"/>
      <c r="G41" s="5"/>
    </row>
    <row r="42" spans="1:7">
      <c r="A42" s="260" t="s">
        <v>2316</v>
      </c>
      <c r="B42" s="261">
        <v>4.3125</v>
      </c>
      <c r="C42" s="15"/>
      <c r="D42" s="15"/>
      <c r="G42" s="5"/>
    </row>
    <row r="43" spans="1:7">
      <c r="A43" s="260" t="s">
        <v>2317</v>
      </c>
      <c r="B43" s="261">
        <v>8.0499999999999989</v>
      </c>
      <c r="C43" s="15"/>
      <c r="D43" s="15"/>
      <c r="G43" s="5"/>
    </row>
    <row r="44" spans="1:7">
      <c r="A44" s="364" t="s">
        <v>38</v>
      </c>
      <c r="B44" s="365"/>
      <c r="C44" s="15"/>
      <c r="D44" s="15"/>
      <c r="G44" s="5"/>
    </row>
    <row r="45" spans="1:7">
      <c r="A45" s="260" t="s">
        <v>39</v>
      </c>
      <c r="B45" s="261">
        <v>0.43124999999999997</v>
      </c>
      <c r="C45" s="15"/>
      <c r="D45" s="15"/>
      <c r="G45" s="5"/>
    </row>
    <row r="46" spans="1:7">
      <c r="A46" s="260" t="s">
        <v>719</v>
      </c>
      <c r="B46" s="261">
        <v>0.71875</v>
      </c>
      <c r="C46" s="15"/>
      <c r="D46" s="15"/>
      <c r="G46" s="5"/>
    </row>
    <row r="47" spans="1:7">
      <c r="A47" s="260" t="s">
        <v>40</v>
      </c>
      <c r="B47" s="261">
        <v>0.71875</v>
      </c>
      <c r="C47" s="15"/>
      <c r="D47" s="15"/>
      <c r="G47" s="5"/>
    </row>
    <row r="48" spans="1:7">
      <c r="A48" s="260" t="s">
        <v>717</v>
      </c>
      <c r="B48" s="261">
        <v>1.5812499999999998</v>
      </c>
      <c r="C48" s="15"/>
      <c r="D48" s="15"/>
      <c r="G48" s="5"/>
    </row>
    <row r="49" spans="1:7">
      <c r="A49" s="260" t="s">
        <v>42</v>
      </c>
      <c r="B49" s="261">
        <v>1.1499999999999999</v>
      </c>
      <c r="C49" s="15"/>
      <c r="D49" s="15"/>
      <c r="G49" s="5"/>
    </row>
    <row r="50" spans="1:7">
      <c r="A50" s="260" t="s">
        <v>718</v>
      </c>
      <c r="B50" s="261">
        <v>3.1624999999999996</v>
      </c>
      <c r="C50" s="15"/>
      <c r="D50" s="15"/>
      <c r="G50" s="5"/>
    </row>
    <row r="51" spans="1:7">
      <c r="A51" s="260" t="s">
        <v>2318</v>
      </c>
      <c r="B51" s="261">
        <v>2.0124999999999997</v>
      </c>
      <c r="C51" s="15"/>
      <c r="D51" s="15"/>
      <c r="G51" s="5"/>
    </row>
    <row r="52" spans="1:7">
      <c r="A52" s="260" t="s">
        <v>2319</v>
      </c>
      <c r="B52" s="261">
        <v>5.6062499999999993</v>
      </c>
      <c r="C52" s="15"/>
      <c r="D52" s="15"/>
      <c r="G52" s="5"/>
    </row>
    <row r="53" spans="1:7">
      <c r="A53" s="364" t="s">
        <v>49</v>
      </c>
      <c r="B53" s="365"/>
      <c r="C53" s="15"/>
      <c r="D53" s="15"/>
      <c r="G53" s="5"/>
    </row>
    <row r="54" spans="1:7">
      <c r="A54" s="260" t="s">
        <v>50</v>
      </c>
      <c r="B54" s="261">
        <v>5.4624999999999986</v>
      </c>
      <c r="C54" s="15"/>
      <c r="D54" s="15"/>
      <c r="G54" s="5"/>
    </row>
    <row r="55" spans="1:7">
      <c r="A55" s="260" t="s">
        <v>51</v>
      </c>
      <c r="B55" s="261">
        <v>13.75</v>
      </c>
      <c r="C55" s="15"/>
      <c r="D55" s="15"/>
      <c r="G55" s="5"/>
    </row>
    <row r="56" spans="1:7">
      <c r="A56" s="260" t="s">
        <v>52</v>
      </c>
      <c r="B56" s="261">
        <v>6.25</v>
      </c>
      <c r="C56" s="15"/>
      <c r="D56" s="15"/>
      <c r="G56" s="5"/>
    </row>
    <row r="57" spans="1:7">
      <c r="A57" s="260" t="s">
        <v>53</v>
      </c>
      <c r="B57" s="261">
        <v>19.549999999999997</v>
      </c>
      <c r="C57" s="15"/>
      <c r="D57" s="15"/>
      <c r="G57" s="5"/>
    </row>
    <row r="58" spans="1:7">
      <c r="A58" s="260" t="s">
        <v>54</v>
      </c>
      <c r="B58" s="261">
        <v>9.5</v>
      </c>
      <c r="C58" s="15"/>
      <c r="D58" s="15"/>
      <c r="G58" s="5"/>
    </row>
    <row r="59" spans="1:7">
      <c r="A59" s="260" t="s">
        <v>55</v>
      </c>
      <c r="B59" s="261">
        <v>28.174999999999997</v>
      </c>
      <c r="C59" s="15"/>
      <c r="D59" s="15"/>
      <c r="G59" s="5"/>
    </row>
    <row r="60" spans="1:7">
      <c r="A60" s="364" t="s">
        <v>2320</v>
      </c>
      <c r="B60" s="365"/>
      <c r="C60" s="15"/>
      <c r="D60" s="15"/>
      <c r="G60" s="5"/>
    </row>
    <row r="61" spans="1:7">
      <c r="A61" s="367" t="s">
        <v>2810</v>
      </c>
      <c r="B61" s="261">
        <v>12.074999999999999</v>
      </c>
      <c r="C61" s="15"/>
      <c r="D61" s="15"/>
      <c r="G61" s="5"/>
    </row>
    <row r="62" spans="1:7">
      <c r="A62" s="263" t="s">
        <v>2321</v>
      </c>
      <c r="B62" s="261">
        <v>20.7</v>
      </c>
      <c r="G62" s="5"/>
    </row>
    <row r="63" spans="1:7">
      <c r="A63" s="263" t="s">
        <v>2322</v>
      </c>
      <c r="B63" s="261">
        <v>16.818749999999998</v>
      </c>
      <c r="G63" s="5"/>
    </row>
    <row r="64" spans="1:7">
      <c r="A64" s="263" t="s">
        <v>2323</v>
      </c>
      <c r="B64" s="261">
        <v>14.375</v>
      </c>
      <c r="G64" s="5"/>
    </row>
    <row r="65" spans="1:8">
      <c r="A65" s="367" t="s">
        <v>2811</v>
      </c>
      <c r="B65" s="261">
        <v>25.299999999999997</v>
      </c>
      <c r="G65" s="5"/>
    </row>
    <row r="66" spans="1:8">
      <c r="A66" s="367" t="s">
        <v>2812</v>
      </c>
      <c r="B66" s="261">
        <v>33.0625</v>
      </c>
      <c r="G66" s="5"/>
    </row>
    <row r="67" spans="1:8">
      <c r="A67" s="364" t="s">
        <v>23</v>
      </c>
      <c r="B67" s="365"/>
      <c r="G67" s="5"/>
    </row>
    <row r="68" spans="1:8">
      <c r="A68" s="260" t="s">
        <v>24</v>
      </c>
      <c r="B68" s="93">
        <v>25.5</v>
      </c>
      <c r="G68" s="5"/>
      <c r="H68" s="3"/>
    </row>
    <row r="69" spans="1:8">
      <c r="A69" s="260" t="s">
        <v>25</v>
      </c>
      <c r="B69" s="93">
        <v>52</v>
      </c>
      <c r="G69" s="5"/>
      <c r="H69" s="3"/>
    </row>
    <row r="70" spans="1:8">
      <c r="A70" s="260" t="s">
        <v>26</v>
      </c>
      <c r="B70" s="93">
        <v>42.5</v>
      </c>
      <c r="G70" s="5"/>
      <c r="H70" s="3"/>
    </row>
    <row r="71" spans="1:8">
      <c r="A71" s="260" t="s">
        <v>27</v>
      </c>
      <c r="B71" s="93">
        <v>75</v>
      </c>
      <c r="G71" s="5"/>
      <c r="H71" s="3"/>
    </row>
    <row r="72" spans="1:8">
      <c r="A72" s="260" t="s">
        <v>28</v>
      </c>
      <c r="B72" s="93">
        <v>61</v>
      </c>
      <c r="G72" s="5"/>
      <c r="H72" s="3"/>
    </row>
    <row r="73" spans="1:8">
      <c r="A73" s="260" t="s">
        <v>29</v>
      </c>
      <c r="B73" s="93">
        <v>115</v>
      </c>
      <c r="G73" s="5"/>
      <c r="H73" s="3"/>
    </row>
    <row r="74" spans="1:8">
      <c r="A74" s="364" t="s">
        <v>56</v>
      </c>
      <c r="B74" s="365"/>
      <c r="G74" s="5"/>
    </row>
    <row r="75" spans="1:8">
      <c r="A75" s="260" t="s">
        <v>58</v>
      </c>
      <c r="B75" s="261">
        <v>5.4624999999999986</v>
      </c>
      <c r="G75" s="5"/>
    </row>
    <row r="76" spans="1:8">
      <c r="A76" s="260" t="s">
        <v>57</v>
      </c>
      <c r="B76" s="261">
        <v>9.6312499999999996</v>
      </c>
      <c r="G76" s="5"/>
    </row>
    <row r="77" spans="1:8">
      <c r="A77" s="260" t="s">
        <v>59</v>
      </c>
      <c r="B77" s="261">
        <v>22.28125</v>
      </c>
      <c r="G77" s="5"/>
    </row>
    <row r="78" spans="1:8">
      <c r="A78" s="260" t="s">
        <v>2324</v>
      </c>
      <c r="B78" s="261">
        <v>28.75</v>
      </c>
      <c r="G78" s="5"/>
    </row>
    <row r="79" spans="1:8">
      <c r="A79" s="364" t="s">
        <v>43</v>
      </c>
      <c r="B79" s="365"/>
      <c r="G79" s="5"/>
    </row>
    <row r="80" spans="1:8" ht="38.25" customHeight="1">
      <c r="A80" s="260" t="s">
        <v>44</v>
      </c>
      <c r="B80" s="93">
        <v>52.5</v>
      </c>
      <c r="G80" s="3"/>
    </row>
    <row r="81" spans="1:9" ht="33.799999999999997" customHeight="1">
      <c r="A81" s="260" t="s">
        <v>45</v>
      </c>
      <c r="B81" s="93">
        <v>78.75</v>
      </c>
      <c r="G81" s="3"/>
    </row>
    <row r="82" spans="1:9">
      <c r="A82" s="364" t="s">
        <v>48</v>
      </c>
      <c r="B82" s="365"/>
      <c r="G82" s="5"/>
    </row>
    <row r="83" spans="1:9" ht="41.3" customHeight="1">
      <c r="A83" s="260" t="s">
        <v>46</v>
      </c>
      <c r="B83" s="93">
        <v>26.25</v>
      </c>
      <c r="G83" s="5"/>
    </row>
    <row r="84" spans="1:9" ht="41.95" customHeight="1">
      <c r="A84" s="260" t="s">
        <v>47</v>
      </c>
      <c r="B84" s="93">
        <v>28.75</v>
      </c>
      <c r="G84" s="5"/>
    </row>
    <row r="85" spans="1:9" ht="20.25" customHeight="1">
      <c r="A85" s="364" t="s">
        <v>2325</v>
      </c>
      <c r="B85" s="365"/>
    </row>
    <row r="86" spans="1:9" ht="87.8" customHeight="1">
      <c r="A86" s="260" t="s">
        <v>2326</v>
      </c>
      <c r="B86" s="93">
        <v>75</v>
      </c>
    </row>
    <row r="87" spans="1:9" ht="93.75" customHeight="1">
      <c r="A87" s="262" t="s">
        <v>2327</v>
      </c>
      <c r="B87" s="93">
        <v>149</v>
      </c>
    </row>
    <row r="88" spans="1:9">
      <c r="A88" s="364" t="s">
        <v>2808</v>
      </c>
      <c r="B88" s="365"/>
    </row>
    <row r="89" spans="1:9">
      <c r="A89" s="260" t="s">
        <v>2923</v>
      </c>
      <c r="B89" s="93">
        <v>140.366625</v>
      </c>
      <c r="I89" s="3"/>
    </row>
    <row r="90" spans="1:9">
      <c r="A90" s="260" t="s">
        <v>2924</v>
      </c>
      <c r="B90" s="93">
        <v>175.60987499999996</v>
      </c>
      <c r="I90" s="3"/>
    </row>
    <row r="91" spans="1:9">
      <c r="A91" s="260" t="s">
        <v>2925</v>
      </c>
      <c r="B91" s="93">
        <v>247.63987499999999</v>
      </c>
      <c r="I91" s="3"/>
    </row>
    <row r="92" spans="1:9">
      <c r="A92" s="260" t="s">
        <v>2926</v>
      </c>
      <c r="B92" s="93">
        <v>199.05637499999997</v>
      </c>
      <c r="I92" s="3"/>
    </row>
    <row r="93" spans="1:9">
      <c r="A93" s="366" t="s">
        <v>2927</v>
      </c>
      <c r="B93" s="92">
        <v>248.77912499999996</v>
      </c>
      <c r="I93" s="3"/>
    </row>
    <row r="94" spans="1:9">
      <c r="A94" s="366" t="s">
        <v>2928</v>
      </c>
      <c r="B94" s="92">
        <v>312.09937499999995</v>
      </c>
      <c r="I94" s="3"/>
    </row>
    <row r="95" spans="1:9">
      <c r="A95" s="366" t="s">
        <v>2929</v>
      </c>
      <c r="B95" s="92">
        <v>228.32775000000001</v>
      </c>
      <c r="I95" s="3"/>
    </row>
    <row r="96" spans="1:9">
      <c r="A96" s="366" t="s">
        <v>2930</v>
      </c>
      <c r="B96" s="92">
        <v>263.368875</v>
      </c>
      <c r="I96" s="3"/>
    </row>
    <row r="97" spans="1:9">
      <c r="A97" s="366" t="s">
        <v>2931</v>
      </c>
      <c r="B97" s="92">
        <v>310.75800000000004</v>
      </c>
      <c r="I97" s="3"/>
    </row>
    <row r="98" spans="1:9">
      <c r="A98" s="366" t="s">
        <v>2932</v>
      </c>
      <c r="B98" s="92">
        <v>339.90074999999996</v>
      </c>
      <c r="I98" s="3"/>
    </row>
    <row r="99" spans="1:9">
      <c r="A99" s="366" t="s">
        <v>2933</v>
      </c>
      <c r="B99" s="92">
        <v>477.75</v>
      </c>
      <c r="I99" s="3"/>
    </row>
    <row r="100" spans="1:9">
      <c r="A100" s="366" t="s">
        <v>2934</v>
      </c>
      <c r="B100" s="92">
        <v>285.60262499999999</v>
      </c>
      <c r="I100" s="3"/>
    </row>
    <row r="101" spans="1:9">
      <c r="A101" s="366" t="s">
        <v>2935</v>
      </c>
      <c r="B101" s="92">
        <v>327.01987500000001</v>
      </c>
      <c r="I101" s="3"/>
    </row>
    <row r="102" spans="1:9">
      <c r="A102" s="366" t="s">
        <v>2936</v>
      </c>
      <c r="B102" s="92">
        <v>457.20674999999994</v>
      </c>
      <c r="I102" s="3"/>
    </row>
    <row r="103" spans="1:9">
      <c r="A103" s="366" t="s">
        <v>2937</v>
      </c>
      <c r="B103" s="92">
        <v>593.95349999999996</v>
      </c>
      <c r="I103" s="3"/>
    </row>
    <row r="104" spans="1:9">
      <c r="A104" s="264" t="s">
        <v>2809</v>
      </c>
      <c r="B104" s="264"/>
      <c r="I104" s="3"/>
    </row>
    <row r="105" spans="1:9">
      <c r="A105" s="366" t="s">
        <v>2938</v>
      </c>
      <c r="B105" s="92">
        <v>435.395625</v>
      </c>
      <c r="I105" s="3"/>
    </row>
    <row r="106" spans="1:9">
      <c r="A106" s="366" t="s">
        <v>2939</v>
      </c>
      <c r="B106" s="92">
        <v>580.53975000000003</v>
      </c>
      <c r="I106" s="3"/>
    </row>
    <row r="107" spans="1:9">
      <c r="A107" s="366" t="s">
        <v>2940</v>
      </c>
      <c r="B107" s="92">
        <v>697.86412500000006</v>
      </c>
      <c r="I107" s="3"/>
    </row>
    <row r="108" spans="1:9">
      <c r="A108" s="366" t="s">
        <v>2941</v>
      </c>
      <c r="B108" s="92">
        <v>837.44062499999995</v>
      </c>
      <c r="I108" s="3"/>
    </row>
    <row r="109" spans="1:9">
      <c r="A109" s="366" t="s">
        <v>2942</v>
      </c>
      <c r="B109" s="92">
        <v>1116.2996249999999</v>
      </c>
      <c r="I109" s="3"/>
    </row>
    <row r="110" spans="1:9">
      <c r="A110" s="366" t="s">
        <v>2943</v>
      </c>
      <c r="B110" s="92">
        <v>1394.99325</v>
      </c>
      <c r="I110" s="3"/>
    </row>
    <row r="111" spans="1:9">
      <c r="A111" s="366" t="s">
        <v>2944</v>
      </c>
      <c r="B111" s="92">
        <v>169.08674999999999</v>
      </c>
      <c r="I111" s="3"/>
    </row>
    <row r="112" spans="1:9">
      <c r="A112" s="366" t="s">
        <v>2945</v>
      </c>
      <c r="B112" s="92">
        <v>372.66337499999997</v>
      </c>
      <c r="I112" s="3"/>
    </row>
    <row r="113" spans="1:9">
      <c r="A113" s="366" t="s">
        <v>2946</v>
      </c>
      <c r="B113" s="92">
        <v>551.92987500000004</v>
      </c>
      <c r="I113" s="3"/>
    </row>
    <row r="114" spans="1:9">
      <c r="A114" s="366" t="s">
        <v>2947</v>
      </c>
      <c r="B114" s="92">
        <v>708.19087500000001</v>
      </c>
      <c r="I114" s="3"/>
    </row>
    <row r="115" spans="1:9">
      <c r="A115" s="366" t="s">
        <v>2948</v>
      </c>
      <c r="B115" s="92">
        <v>859.58249999999998</v>
      </c>
      <c r="I115" s="3"/>
    </row>
    <row r="116" spans="1:9">
      <c r="A116" s="366" t="s">
        <v>2949</v>
      </c>
      <c r="B116" s="92">
        <v>1035.1005</v>
      </c>
      <c r="I116" s="3"/>
    </row>
    <row r="117" spans="1:9">
      <c r="A117" s="366" t="s">
        <v>2950</v>
      </c>
      <c r="B117" s="92">
        <v>1354.05375</v>
      </c>
      <c r="I117" s="3"/>
    </row>
    <row r="118" spans="1:9">
      <c r="A118" s="366" t="s">
        <v>2951</v>
      </c>
      <c r="B118" s="92">
        <v>1704.5384999999999</v>
      </c>
      <c r="I118" s="3"/>
    </row>
    <row r="119" spans="1:9">
      <c r="A119" s="266" t="s">
        <v>2952</v>
      </c>
      <c r="B119" s="267">
        <v>1718.8325</v>
      </c>
      <c r="D119" s="32"/>
      <c r="H119">
        <f t="shared" ref="H119" si="0">B119*1.05</f>
        <v>1804.7741250000001</v>
      </c>
      <c r="I119" s="3"/>
    </row>
    <row r="120" spans="1:9">
      <c r="A120" s="264" t="s">
        <v>2328</v>
      </c>
      <c r="B120" s="264"/>
      <c r="C120" s="91"/>
      <c r="D120" s="268" t="s">
        <v>2339</v>
      </c>
      <c r="E120" s="269" t="s">
        <v>2340</v>
      </c>
      <c r="F120" s="269" t="s">
        <v>745</v>
      </c>
      <c r="G120" s="269" t="s">
        <v>2341</v>
      </c>
    </row>
    <row r="121" spans="1:9">
      <c r="A121" s="366" t="s">
        <v>2331</v>
      </c>
      <c r="B121" s="366">
        <v>2.2199999999999998</v>
      </c>
      <c r="C121" s="6"/>
      <c r="D121" s="93">
        <v>10</v>
      </c>
      <c r="E121" s="93">
        <v>25</v>
      </c>
      <c r="F121" s="93">
        <v>10</v>
      </c>
      <c r="G121" s="265">
        <v>0.8</v>
      </c>
    </row>
    <row r="122" spans="1:9">
      <c r="A122" s="366" t="s">
        <v>2332</v>
      </c>
      <c r="B122" s="366">
        <v>2.67</v>
      </c>
      <c r="C122" s="6"/>
      <c r="D122" s="93">
        <v>16</v>
      </c>
      <c r="E122" s="93">
        <v>33</v>
      </c>
      <c r="F122" s="93">
        <v>12</v>
      </c>
      <c r="G122" s="265">
        <v>1</v>
      </c>
    </row>
    <row r="123" spans="1:9">
      <c r="A123" s="366" t="s">
        <v>2333</v>
      </c>
      <c r="B123" s="366">
        <v>2.9699999999999998</v>
      </c>
      <c r="C123" s="6"/>
      <c r="D123" s="93">
        <v>20</v>
      </c>
      <c r="E123" s="93">
        <v>37</v>
      </c>
      <c r="F123" s="93">
        <v>12</v>
      </c>
      <c r="G123" s="265">
        <v>1.2</v>
      </c>
    </row>
    <row r="124" spans="1:9">
      <c r="A124" s="366" t="s">
        <v>2334</v>
      </c>
      <c r="B124" s="366">
        <v>3.7800000000000002</v>
      </c>
      <c r="C124" s="6"/>
      <c r="D124" s="93">
        <v>26</v>
      </c>
      <c r="E124" s="93">
        <v>46</v>
      </c>
      <c r="F124" s="93">
        <v>14</v>
      </c>
      <c r="G124" s="265">
        <v>1.2</v>
      </c>
    </row>
    <row r="125" spans="1:9">
      <c r="A125" s="264" t="s">
        <v>2329</v>
      </c>
      <c r="B125" s="264"/>
      <c r="C125" s="91"/>
      <c r="D125" s="179"/>
      <c r="E125" s="179"/>
      <c r="F125" s="179"/>
      <c r="G125" s="270"/>
    </row>
    <row r="126" spans="1:9">
      <c r="A126" s="366" t="s">
        <v>2335</v>
      </c>
      <c r="B126" s="366">
        <v>2.4000000000000004</v>
      </c>
      <c r="C126" s="6"/>
      <c r="D126" s="93">
        <v>10</v>
      </c>
      <c r="E126" s="93">
        <v>36</v>
      </c>
      <c r="F126" s="93">
        <v>10</v>
      </c>
      <c r="G126" s="265">
        <v>0.8</v>
      </c>
    </row>
    <row r="127" spans="1:9">
      <c r="A127" s="366" t="s">
        <v>2338</v>
      </c>
      <c r="B127" s="366">
        <v>2.82</v>
      </c>
      <c r="C127" s="6"/>
      <c r="D127" s="93">
        <v>16</v>
      </c>
      <c r="E127" s="93">
        <v>47</v>
      </c>
      <c r="F127" s="93">
        <v>12</v>
      </c>
      <c r="G127" s="265">
        <v>0.8</v>
      </c>
    </row>
    <row r="128" spans="1:9">
      <c r="A128" s="366" t="s">
        <v>2337</v>
      </c>
      <c r="B128" s="366">
        <v>3.5999999999999996</v>
      </c>
      <c r="C128" s="6"/>
      <c r="D128" s="93">
        <v>20</v>
      </c>
      <c r="E128" s="93">
        <v>53</v>
      </c>
      <c r="F128" s="93">
        <v>12</v>
      </c>
      <c r="G128" s="265">
        <v>1</v>
      </c>
    </row>
    <row r="129" spans="1:7">
      <c r="A129" s="366" t="s">
        <v>2336</v>
      </c>
      <c r="B129" s="366">
        <v>5.82</v>
      </c>
      <c r="C129" s="6"/>
      <c r="D129" s="93">
        <v>26</v>
      </c>
      <c r="E129" s="93">
        <v>65</v>
      </c>
      <c r="F129" s="93">
        <v>14</v>
      </c>
      <c r="G129" s="265">
        <v>1.2</v>
      </c>
    </row>
  </sheetData>
  <sheetProtection algorithmName="SHA-512" hashValue="ugGcX3VKqg5gCVpt64kwRuyxsO4wKX++ENfvlRo25dGYJCA2J99REyGKAzVsTdpZrktJdMVE2oPp0n89QMVDAw==" saltValue="Ui3L4UXLJDZeilytX8q7ag==" spinCount="100000" sheet="1" formatCells="0" formatColumns="0" formatRows="0" insertColumns="0" insertRows="0" insertHyperlinks="0" deleteColumns="0" deleteRows="0" sort="0" autoFilter="0" pivotTables="0"/>
  <mergeCells count="6">
    <mergeCell ref="P1:Q1"/>
    <mergeCell ref="A35:B35"/>
    <mergeCell ref="B1:F1"/>
    <mergeCell ref="G1:I1"/>
    <mergeCell ref="J1:N1"/>
    <mergeCell ref="A25:B25"/>
  </mergeCells>
  <hyperlinks>
    <hyperlink ref="O1" location="ГЛАВНАЯ!A1" display="На главную" xr:uid="{00000000-0004-0000-1300-000000000000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31"/>
  <dimension ref="A1:N684"/>
  <sheetViews>
    <sheetView workbookViewId="0">
      <pane ySplit="1" topLeftCell="A2" activePane="bottomLeft" state="frozen"/>
      <selection pane="bottomLeft" activeCell="K192" sqref="K192"/>
    </sheetView>
  </sheetViews>
  <sheetFormatPr defaultRowHeight="14.3"/>
  <cols>
    <col min="1" max="1" width="54" style="279" customWidth="1"/>
    <col min="2" max="2" width="11.625" style="279" customWidth="1"/>
    <col min="3" max="3" width="12.875" style="279" customWidth="1"/>
    <col min="4" max="4" width="8.375" style="279" bestFit="1" customWidth="1"/>
    <col min="5" max="5" width="14.375" style="282" customWidth="1"/>
    <col min="6" max="6" width="14" style="726" customWidth="1"/>
    <col min="7" max="7" width="15.75" style="281" customWidth="1"/>
    <col min="8" max="8" width="17.875" customWidth="1"/>
    <col min="9" max="9" width="11" bestFit="1" customWidth="1"/>
    <col min="10" max="10" width="20.625" customWidth="1"/>
  </cols>
  <sheetData>
    <row r="1" spans="1:14" ht="55.55" customHeight="1" thickBot="1">
      <c r="A1" s="372" t="s">
        <v>2</v>
      </c>
      <c r="B1" s="373" t="s">
        <v>2342</v>
      </c>
      <c r="C1" s="373" t="s">
        <v>2343</v>
      </c>
      <c r="D1" s="373" t="s">
        <v>766</v>
      </c>
      <c r="E1" s="343" t="s">
        <v>3371</v>
      </c>
      <c r="F1" s="716" t="s">
        <v>3372</v>
      </c>
      <c r="G1" s="344" t="s">
        <v>2344</v>
      </c>
      <c r="H1" s="329" t="s">
        <v>2304</v>
      </c>
      <c r="I1" s="921" t="s">
        <v>3595</v>
      </c>
      <c r="J1" s="922"/>
    </row>
    <row r="2" spans="1:14" ht="16.3" thickBot="1">
      <c r="A2" s="934" t="s">
        <v>2345</v>
      </c>
      <c r="B2" s="935"/>
      <c r="C2" s="935"/>
      <c r="D2" s="935"/>
      <c r="E2" s="935"/>
      <c r="F2" s="935"/>
      <c r="G2" s="935"/>
    </row>
    <row r="3" spans="1:14">
      <c r="A3" s="283" t="s">
        <v>2346</v>
      </c>
      <c r="B3" s="284">
        <v>2</v>
      </c>
      <c r="C3" s="285">
        <v>6000</v>
      </c>
      <c r="D3" s="286" t="s">
        <v>2347</v>
      </c>
      <c r="E3" s="303">
        <v>1595.6109000000001</v>
      </c>
      <c r="F3" s="717">
        <v>3214.8405899999998</v>
      </c>
      <c r="G3" s="304">
        <v>1531.7833050000004</v>
      </c>
      <c r="H3" s="278"/>
      <c r="I3" s="278"/>
      <c r="J3" s="278"/>
      <c r="K3" s="13"/>
      <c r="L3" s="3"/>
      <c r="M3" s="3"/>
      <c r="N3" s="3"/>
    </row>
    <row r="4" spans="1:14" s="277" customFormat="1">
      <c r="A4" s="287" t="s">
        <v>2348</v>
      </c>
      <c r="B4" s="288">
        <v>2</v>
      </c>
      <c r="C4" s="289">
        <v>3000</v>
      </c>
      <c r="D4" s="290" t="s">
        <v>2347</v>
      </c>
      <c r="E4" s="305">
        <v>797.80545000000006</v>
      </c>
      <c r="F4" s="718">
        <v>1607.4302399999999</v>
      </c>
      <c r="G4" s="306">
        <v>765.89954999999998</v>
      </c>
      <c r="H4" s="278"/>
      <c r="I4" s="278"/>
      <c r="J4" s="278"/>
      <c r="K4" s="13"/>
      <c r="L4" s="3"/>
      <c r="M4" s="3"/>
      <c r="N4" s="3"/>
    </row>
    <row r="5" spans="1:14">
      <c r="A5" s="291" t="s">
        <v>2349</v>
      </c>
      <c r="B5" s="292">
        <v>2</v>
      </c>
      <c r="C5" s="293">
        <v>2900</v>
      </c>
      <c r="D5" s="294" t="s">
        <v>2347</v>
      </c>
      <c r="E5" s="307">
        <v>771.20667000000014</v>
      </c>
      <c r="F5" s="717">
        <v>1553.8465800000004</v>
      </c>
      <c r="G5" s="304">
        <v>740.35903500000018</v>
      </c>
      <c r="H5" s="278"/>
      <c r="I5" s="278"/>
      <c r="J5" s="278"/>
      <c r="K5" s="13"/>
      <c r="L5" s="3"/>
      <c r="M5" s="3"/>
      <c r="N5" s="3"/>
    </row>
    <row r="6" spans="1:14">
      <c r="A6" s="291" t="s">
        <v>2350</v>
      </c>
      <c r="B6" s="292">
        <v>2</v>
      </c>
      <c r="C6" s="293">
        <v>2800</v>
      </c>
      <c r="D6" s="294" t="s">
        <v>2347</v>
      </c>
      <c r="E6" s="307">
        <v>744.62368500000014</v>
      </c>
      <c r="F6" s="717">
        <v>1500.2629199999999</v>
      </c>
      <c r="G6" s="304">
        <v>714.83431500000006</v>
      </c>
      <c r="H6" s="278"/>
      <c r="I6" s="278"/>
      <c r="J6" s="278"/>
      <c r="K6" s="13"/>
      <c r="L6" s="3"/>
      <c r="M6" s="3"/>
      <c r="N6" s="3"/>
    </row>
    <row r="7" spans="1:14">
      <c r="A7" s="291" t="s">
        <v>2351</v>
      </c>
      <c r="B7" s="292">
        <v>2</v>
      </c>
      <c r="C7" s="293">
        <v>2700</v>
      </c>
      <c r="D7" s="294" t="s">
        <v>2347</v>
      </c>
      <c r="E7" s="307">
        <v>718.0249050000001</v>
      </c>
      <c r="F7" s="717">
        <v>1446.6792599999999</v>
      </c>
      <c r="G7" s="304">
        <v>689.29380000000003</v>
      </c>
      <c r="H7" s="278"/>
      <c r="I7" s="278"/>
      <c r="J7" s="278"/>
      <c r="K7" s="13"/>
      <c r="L7" s="3"/>
      <c r="M7" s="3"/>
      <c r="N7" s="3"/>
    </row>
    <row r="8" spans="1:14">
      <c r="A8" s="291" t="s">
        <v>2352</v>
      </c>
      <c r="B8" s="292">
        <v>2</v>
      </c>
      <c r="C8" s="293">
        <v>2600</v>
      </c>
      <c r="D8" s="294" t="s">
        <v>2347</v>
      </c>
      <c r="E8" s="307">
        <v>691.42612500000007</v>
      </c>
      <c r="F8" s="717">
        <v>1393.0955999999999</v>
      </c>
      <c r="G8" s="304">
        <v>663.76908000000014</v>
      </c>
      <c r="H8" s="278"/>
      <c r="I8" s="278"/>
      <c r="J8" s="278"/>
      <c r="K8" s="13"/>
      <c r="L8" s="3"/>
      <c r="M8" s="3"/>
      <c r="N8" s="3"/>
    </row>
    <row r="9" spans="1:14">
      <c r="A9" s="291" t="s">
        <v>2353</v>
      </c>
      <c r="B9" s="292">
        <v>2</v>
      </c>
      <c r="C9" s="293">
        <v>2500</v>
      </c>
      <c r="D9" s="294" t="s">
        <v>2347</v>
      </c>
      <c r="E9" s="307">
        <v>664.84314000000006</v>
      </c>
      <c r="F9" s="717">
        <v>1339.5119400000001</v>
      </c>
      <c r="G9" s="304">
        <v>638.24436000000003</v>
      </c>
      <c r="H9" s="278"/>
      <c r="I9" s="278"/>
      <c r="J9" s="278"/>
      <c r="K9" s="13"/>
      <c r="L9" s="3"/>
      <c r="M9" s="3"/>
      <c r="N9" s="3"/>
    </row>
    <row r="10" spans="1:14">
      <c r="A10" s="291" t="s">
        <v>2354</v>
      </c>
      <c r="B10" s="292">
        <v>2</v>
      </c>
      <c r="C10" s="293">
        <v>2400</v>
      </c>
      <c r="D10" s="294" t="s">
        <v>2347</v>
      </c>
      <c r="E10" s="307">
        <v>638.24436000000003</v>
      </c>
      <c r="F10" s="717">
        <v>1285.9481700000001</v>
      </c>
      <c r="G10" s="304">
        <v>612.71964000000014</v>
      </c>
      <c r="H10" s="278"/>
      <c r="I10" s="278"/>
      <c r="J10" s="278"/>
      <c r="K10" s="13"/>
      <c r="L10" s="3"/>
      <c r="M10" s="3"/>
      <c r="N10" s="3"/>
    </row>
    <row r="11" spans="1:14">
      <c r="A11" s="291" t="s">
        <v>2355</v>
      </c>
      <c r="B11" s="292">
        <v>2</v>
      </c>
      <c r="C11" s="293">
        <v>2300</v>
      </c>
      <c r="D11" s="294" t="s">
        <v>2347</v>
      </c>
      <c r="E11" s="307">
        <v>611.64558000000011</v>
      </c>
      <c r="F11" s="717">
        <v>1232.3645100000001</v>
      </c>
      <c r="G11" s="304">
        <v>587.19492000000002</v>
      </c>
      <c r="H11" s="278"/>
      <c r="I11" s="278"/>
      <c r="J11" s="278"/>
      <c r="K11" s="13"/>
      <c r="L11" s="3"/>
      <c r="M11" s="3"/>
      <c r="N11" s="3"/>
    </row>
    <row r="12" spans="1:14">
      <c r="A12" s="291" t="s">
        <v>2356</v>
      </c>
      <c r="B12" s="292">
        <v>2</v>
      </c>
      <c r="C12" s="293">
        <v>2200</v>
      </c>
      <c r="D12" s="294" t="s">
        <v>2347</v>
      </c>
      <c r="E12" s="307">
        <v>585.04680000000008</v>
      </c>
      <c r="F12" s="717">
        <v>1178.7808500000001</v>
      </c>
      <c r="G12" s="304">
        <v>561.654405</v>
      </c>
      <c r="H12" s="278"/>
      <c r="I12" s="278"/>
      <c r="J12" s="278"/>
      <c r="K12" s="13"/>
      <c r="L12" s="3"/>
      <c r="M12" s="3"/>
      <c r="N12" s="3"/>
    </row>
    <row r="13" spans="1:14">
      <c r="A13" s="291" t="s">
        <v>2357</v>
      </c>
      <c r="B13" s="292">
        <v>2</v>
      </c>
      <c r="C13" s="293">
        <v>2100</v>
      </c>
      <c r="D13" s="294" t="s">
        <v>2347</v>
      </c>
      <c r="E13" s="307">
        <v>558.46381500000007</v>
      </c>
      <c r="F13" s="717">
        <v>1125.1971900000003</v>
      </c>
      <c r="G13" s="304">
        <v>536.12968500000011</v>
      </c>
      <c r="H13" s="278"/>
      <c r="I13" s="278"/>
      <c r="J13" s="278"/>
      <c r="K13" s="13"/>
      <c r="L13" s="3"/>
      <c r="M13" s="3"/>
      <c r="N13" s="3"/>
    </row>
    <row r="14" spans="1:14" s="277" customFormat="1">
      <c r="A14" s="287" t="s">
        <v>2358</v>
      </c>
      <c r="B14" s="288">
        <v>2</v>
      </c>
      <c r="C14" s="289">
        <v>2000</v>
      </c>
      <c r="D14" s="290" t="s">
        <v>2347</v>
      </c>
      <c r="E14" s="305">
        <v>531.86503500000003</v>
      </c>
      <c r="F14" s="718">
        <v>1071.6135300000001</v>
      </c>
      <c r="G14" s="306">
        <v>510.58917000000002</v>
      </c>
      <c r="H14" s="278"/>
      <c r="I14" s="278"/>
      <c r="J14" s="278"/>
      <c r="K14" s="13"/>
      <c r="L14" s="3"/>
      <c r="M14" s="3"/>
      <c r="N14" s="3"/>
    </row>
    <row r="15" spans="1:14">
      <c r="A15" s="291" t="s">
        <v>2359</v>
      </c>
      <c r="B15" s="292">
        <v>2</v>
      </c>
      <c r="C15" s="293">
        <v>1900</v>
      </c>
      <c r="D15" s="294" t="s">
        <v>2347</v>
      </c>
      <c r="E15" s="307">
        <v>505.28205000000003</v>
      </c>
      <c r="F15" s="717">
        <v>1018.04976</v>
      </c>
      <c r="G15" s="304">
        <v>485.06445000000008</v>
      </c>
      <c r="H15" s="278"/>
      <c r="I15" s="278"/>
      <c r="J15" s="278"/>
      <c r="K15" s="13"/>
      <c r="L15" s="3"/>
      <c r="M15" s="3"/>
      <c r="N15" s="3"/>
    </row>
    <row r="16" spans="1:14">
      <c r="A16" s="291" t="s">
        <v>2360</v>
      </c>
      <c r="B16" s="292">
        <v>2</v>
      </c>
      <c r="C16" s="293">
        <v>1800</v>
      </c>
      <c r="D16" s="294" t="s">
        <v>2347</v>
      </c>
      <c r="E16" s="307">
        <v>478.68326999999999</v>
      </c>
      <c r="F16" s="717">
        <v>964.46609999999987</v>
      </c>
      <c r="G16" s="304">
        <v>459.53973000000008</v>
      </c>
      <c r="H16" s="278"/>
      <c r="I16" s="278"/>
      <c r="J16" s="278"/>
      <c r="K16" s="13"/>
      <c r="L16" s="3"/>
      <c r="M16" s="3"/>
      <c r="N16" s="3"/>
    </row>
    <row r="17" spans="1:14">
      <c r="A17" s="291" t="s">
        <v>2361</v>
      </c>
      <c r="B17" s="292">
        <v>2</v>
      </c>
      <c r="C17" s="293">
        <v>1700</v>
      </c>
      <c r="D17" s="294" t="s">
        <v>2347</v>
      </c>
      <c r="E17" s="307">
        <v>452.08449000000013</v>
      </c>
      <c r="F17" s="717">
        <v>910.86255000000006</v>
      </c>
      <c r="G17" s="304">
        <v>433.99921499999999</v>
      </c>
      <c r="H17" s="278"/>
      <c r="I17" s="278"/>
      <c r="J17" s="278"/>
      <c r="K17" s="13"/>
      <c r="L17" s="3"/>
      <c r="M17" s="3"/>
      <c r="N17" s="3"/>
    </row>
    <row r="18" spans="1:14">
      <c r="A18" s="291" t="s">
        <v>2362</v>
      </c>
      <c r="B18" s="292">
        <v>2</v>
      </c>
      <c r="C18" s="293">
        <v>1600</v>
      </c>
      <c r="D18" s="294" t="s">
        <v>2347</v>
      </c>
      <c r="E18" s="307">
        <v>425.48571000000004</v>
      </c>
      <c r="F18" s="717">
        <v>857.27888999999993</v>
      </c>
      <c r="G18" s="304">
        <v>408.47449500000005</v>
      </c>
      <c r="H18" s="278"/>
      <c r="I18" s="278"/>
      <c r="J18" s="278"/>
      <c r="K18" s="13"/>
      <c r="L18" s="3"/>
      <c r="M18" s="3"/>
      <c r="N18" s="3"/>
    </row>
    <row r="19" spans="1:14">
      <c r="A19" s="291" t="s">
        <v>2363</v>
      </c>
      <c r="B19" s="292">
        <v>2</v>
      </c>
      <c r="C19" s="293">
        <v>1500</v>
      </c>
      <c r="D19" s="294" t="s">
        <v>2347</v>
      </c>
      <c r="E19" s="307">
        <v>398.90272500000003</v>
      </c>
      <c r="F19" s="717">
        <v>803.71511999999996</v>
      </c>
      <c r="G19" s="304">
        <v>382.94977499999999</v>
      </c>
      <c r="H19" s="278"/>
      <c r="I19" s="278"/>
      <c r="J19" s="278"/>
      <c r="K19" s="13"/>
      <c r="L19" s="3"/>
      <c r="M19" s="3"/>
      <c r="N19" s="3"/>
    </row>
    <row r="20" spans="1:14">
      <c r="A20" s="291" t="s">
        <v>2364</v>
      </c>
      <c r="B20" s="292">
        <v>2</v>
      </c>
      <c r="C20" s="293">
        <v>1400</v>
      </c>
      <c r="D20" s="294" t="s">
        <v>2347</v>
      </c>
      <c r="E20" s="307">
        <v>372.30394500000006</v>
      </c>
      <c r="F20" s="717">
        <v>750.13145999999995</v>
      </c>
      <c r="G20" s="304">
        <v>357.4250550000001</v>
      </c>
      <c r="H20" s="278"/>
      <c r="I20" s="278"/>
      <c r="J20" s="278"/>
      <c r="K20" s="13"/>
      <c r="L20" s="3"/>
      <c r="M20" s="3"/>
      <c r="N20" s="3"/>
    </row>
    <row r="21" spans="1:14">
      <c r="A21" s="291" t="s">
        <v>2365</v>
      </c>
      <c r="B21" s="292">
        <v>2</v>
      </c>
      <c r="C21" s="293">
        <v>1300</v>
      </c>
      <c r="D21" s="294" t="s">
        <v>2347</v>
      </c>
      <c r="E21" s="307">
        <v>345.72096000000005</v>
      </c>
      <c r="F21" s="717">
        <v>696.56768999999997</v>
      </c>
      <c r="G21" s="304">
        <v>331.88454000000007</v>
      </c>
      <c r="H21" s="278"/>
      <c r="I21" s="278"/>
      <c r="J21" s="278"/>
      <c r="K21" s="13"/>
      <c r="L21" s="3"/>
      <c r="M21" s="3"/>
      <c r="N21" s="3"/>
    </row>
    <row r="22" spans="1:14">
      <c r="A22" s="291" t="s">
        <v>2366</v>
      </c>
      <c r="B22" s="292">
        <v>2</v>
      </c>
      <c r="C22" s="293">
        <v>1200</v>
      </c>
      <c r="D22" s="294" t="s">
        <v>2347</v>
      </c>
      <c r="E22" s="307">
        <v>319.12218000000001</v>
      </c>
      <c r="F22" s="717">
        <v>642.96414000000004</v>
      </c>
      <c r="G22" s="304">
        <v>306.35982000000007</v>
      </c>
      <c r="H22" s="278"/>
      <c r="I22" s="278"/>
      <c r="J22" s="278"/>
      <c r="K22" s="13"/>
      <c r="L22" s="3"/>
      <c r="M22" s="3"/>
      <c r="N22" s="3"/>
    </row>
    <row r="23" spans="1:14">
      <c r="A23" s="291" t="s">
        <v>2367</v>
      </c>
      <c r="B23" s="292">
        <v>2</v>
      </c>
      <c r="C23" s="293">
        <v>1100</v>
      </c>
      <c r="D23" s="294" t="s">
        <v>2347</v>
      </c>
      <c r="E23" s="307">
        <v>292.52340000000004</v>
      </c>
      <c r="F23" s="717">
        <v>589.38048000000003</v>
      </c>
      <c r="G23" s="304">
        <v>280.81930500000004</v>
      </c>
      <c r="H23" s="278"/>
      <c r="I23" s="278"/>
      <c r="J23" s="278"/>
      <c r="K23" s="13"/>
      <c r="L23" s="3"/>
      <c r="M23" s="3"/>
      <c r="N23" s="3"/>
    </row>
    <row r="24" spans="1:14" s="277" customFormat="1">
      <c r="A24" s="287" t="s">
        <v>2368</v>
      </c>
      <c r="B24" s="288">
        <v>2</v>
      </c>
      <c r="C24" s="289">
        <v>1000</v>
      </c>
      <c r="D24" s="290" t="s">
        <v>2347</v>
      </c>
      <c r="E24" s="305">
        <v>265.94041500000003</v>
      </c>
      <c r="F24" s="718">
        <v>535.79682000000003</v>
      </c>
      <c r="G24" s="306">
        <v>255.29458500000001</v>
      </c>
      <c r="H24" s="278"/>
      <c r="I24" s="278"/>
      <c r="J24" s="278"/>
      <c r="K24" s="13"/>
      <c r="L24" s="3"/>
      <c r="M24" s="3"/>
      <c r="N24" s="3"/>
    </row>
    <row r="25" spans="1:14">
      <c r="A25" s="291" t="s">
        <v>2369</v>
      </c>
      <c r="B25" s="292">
        <v>2</v>
      </c>
      <c r="C25" s="293">
        <v>900</v>
      </c>
      <c r="D25" s="294" t="s">
        <v>2347</v>
      </c>
      <c r="E25" s="307">
        <v>248.02888500000006</v>
      </c>
      <c r="F25" s="717">
        <v>672.40134</v>
      </c>
      <c r="G25" s="304">
        <v>320.38578000000001</v>
      </c>
      <c r="H25" s="278"/>
      <c r="I25" s="278"/>
      <c r="J25" s="278"/>
      <c r="K25" s="13"/>
      <c r="L25" s="3"/>
      <c r="M25" s="3"/>
      <c r="N25" s="3"/>
    </row>
    <row r="26" spans="1:14">
      <c r="A26" s="291" t="s">
        <v>2370</v>
      </c>
      <c r="B26" s="292">
        <v>2</v>
      </c>
      <c r="C26" s="293">
        <v>800</v>
      </c>
      <c r="D26" s="294" t="s">
        <v>2347</v>
      </c>
      <c r="E26" s="307">
        <v>225.789525</v>
      </c>
      <c r="F26" s="717">
        <v>623.59127999999998</v>
      </c>
      <c r="G26" s="304">
        <v>297.11974500000008</v>
      </c>
      <c r="H26" s="278"/>
      <c r="I26" s="278"/>
      <c r="J26" s="278"/>
      <c r="K26" s="13"/>
      <c r="L26" s="3"/>
      <c r="M26" s="3"/>
      <c r="N26" s="3"/>
    </row>
    <row r="27" spans="1:14">
      <c r="A27" s="291" t="s">
        <v>2371</v>
      </c>
      <c r="B27" s="292">
        <v>2</v>
      </c>
      <c r="C27" s="293">
        <v>700</v>
      </c>
      <c r="D27" s="294" t="s">
        <v>2347</v>
      </c>
      <c r="E27" s="307">
        <v>203.51857500000003</v>
      </c>
      <c r="F27" s="717">
        <v>574.82100000000003</v>
      </c>
      <c r="G27" s="304">
        <v>273.88530000000003</v>
      </c>
      <c r="H27" s="278"/>
      <c r="I27" s="278"/>
      <c r="J27" s="278"/>
      <c r="K27" s="13"/>
      <c r="L27" s="3"/>
      <c r="M27" s="3"/>
      <c r="N27" s="3"/>
    </row>
    <row r="28" spans="1:14">
      <c r="A28" s="291" t="s">
        <v>2372</v>
      </c>
      <c r="B28" s="292">
        <v>2</v>
      </c>
      <c r="C28" s="293">
        <v>600</v>
      </c>
      <c r="D28" s="294" t="s">
        <v>2347</v>
      </c>
      <c r="E28" s="307">
        <v>176.93559000000002</v>
      </c>
      <c r="F28" s="717">
        <v>504.82809000000009</v>
      </c>
      <c r="G28" s="304">
        <v>240.52626000000001</v>
      </c>
      <c r="H28" s="278"/>
      <c r="I28" s="278"/>
      <c r="J28" s="278"/>
      <c r="K28" s="13"/>
      <c r="L28" s="3"/>
      <c r="M28" s="3"/>
      <c r="N28" s="3"/>
    </row>
    <row r="29" spans="1:14">
      <c r="A29" s="291" t="s">
        <v>2373</v>
      </c>
      <c r="B29" s="292">
        <v>2</v>
      </c>
      <c r="C29" s="293">
        <v>500</v>
      </c>
      <c r="D29" s="294" t="s">
        <v>2347</v>
      </c>
      <c r="E29" s="307">
        <v>150.33681000000001</v>
      </c>
      <c r="F29" s="717">
        <v>434.81529000000006</v>
      </c>
      <c r="G29" s="304">
        <v>207.16722000000001</v>
      </c>
      <c r="H29" s="278"/>
      <c r="I29" s="278"/>
      <c r="J29" s="278"/>
      <c r="K29" s="13"/>
      <c r="L29" s="3"/>
      <c r="M29" s="3"/>
      <c r="N29" s="3"/>
    </row>
    <row r="30" spans="1:14">
      <c r="A30" s="291" t="s">
        <v>2374</v>
      </c>
      <c r="B30" s="292">
        <v>2</v>
      </c>
      <c r="C30" s="293">
        <v>400</v>
      </c>
      <c r="D30" s="294" t="s">
        <v>2347</v>
      </c>
      <c r="E30" s="307">
        <v>123.75382500000001</v>
      </c>
      <c r="F30" s="717">
        <v>364.82238000000001</v>
      </c>
      <c r="G30" s="304">
        <v>173.80818000000005</v>
      </c>
      <c r="H30" s="278"/>
      <c r="I30" s="278"/>
      <c r="J30" s="278"/>
      <c r="K30" s="13"/>
      <c r="L30" s="3"/>
      <c r="M30" s="3"/>
      <c r="N30" s="3"/>
    </row>
    <row r="31" spans="1:14" ht="14.95" thickBot="1">
      <c r="A31" s="295" t="s">
        <v>2375</v>
      </c>
      <c r="B31" s="296">
        <v>2</v>
      </c>
      <c r="C31" s="297">
        <v>300</v>
      </c>
      <c r="D31" s="298" t="s">
        <v>2347</v>
      </c>
      <c r="E31" s="308">
        <v>97.155045000000015</v>
      </c>
      <c r="F31" s="719">
        <v>294.80958000000004</v>
      </c>
      <c r="G31" s="309">
        <v>140.46493500000003</v>
      </c>
      <c r="H31" s="278"/>
      <c r="I31" s="278"/>
      <c r="J31" s="278"/>
      <c r="K31" s="13"/>
      <c r="L31" s="3"/>
      <c r="M31" s="3"/>
      <c r="N31" s="3"/>
    </row>
    <row r="32" spans="1:14" ht="16.3" thickBot="1">
      <c r="A32" s="934" t="s">
        <v>2376</v>
      </c>
      <c r="B32" s="935"/>
      <c r="C32" s="935"/>
      <c r="D32" s="935"/>
      <c r="E32" s="935"/>
      <c r="F32" s="935"/>
      <c r="G32" s="935"/>
      <c r="H32" s="278"/>
      <c r="I32" s="278"/>
      <c r="J32" s="278"/>
      <c r="K32" s="13"/>
      <c r="L32" s="3"/>
      <c r="M32" s="3"/>
      <c r="N32" s="3"/>
    </row>
    <row r="33" spans="1:14">
      <c r="A33" s="299" t="s">
        <v>2377</v>
      </c>
      <c r="B33" s="300">
        <v>2.5</v>
      </c>
      <c r="C33" s="301">
        <v>6000</v>
      </c>
      <c r="D33" s="302" t="s">
        <v>2347</v>
      </c>
      <c r="E33" s="303">
        <v>2088.6676200000002</v>
      </c>
      <c r="F33" s="720">
        <v>4208.2665300000008</v>
      </c>
      <c r="G33" s="310">
        <v>2005.1120700000001</v>
      </c>
      <c r="H33" s="278"/>
      <c r="I33" s="278"/>
      <c r="J33" s="278"/>
      <c r="K33" s="13"/>
      <c r="L33" s="3"/>
      <c r="M33" s="3"/>
      <c r="N33" s="3"/>
    </row>
    <row r="34" spans="1:14" s="277" customFormat="1">
      <c r="A34" s="287" t="s">
        <v>2378</v>
      </c>
      <c r="B34" s="288">
        <v>2.5</v>
      </c>
      <c r="C34" s="289">
        <v>3000</v>
      </c>
      <c r="D34" s="290" t="s">
        <v>2347</v>
      </c>
      <c r="E34" s="311">
        <v>1044.3338100000001</v>
      </c>
      <c r="F34" s="721">
        <v>2104.1432100000006</v>
      </c>
      <c r="G34" s="312">
        <v>1002.5560350000001</v>
      </c>
      <c r="H34" s="278"/>
      <c r="I34" s="278"/>
      <c r="J34" s="278"/>
      <c r="K34" s="13"/>
      <c r="L34" s="3"/>
      <c r="M34" s="3"/>
      <c r="N34" s="3"/>
    </row>
    <row r="35" spans="1:14">
      <c r="A35" s="291" t="s">
        <v>2379</v>
      </c>
      <c r="B35" s="292">
        <v>2.5</v>
      </c>
      <c r="C35" s="293">
        <v>2900</v>
      </c>
      <c r="D35" s="294" t="s">
        <v>2347</v>
      </c>
      <c r="E35" s="313">
        <v>1009.5216300000001</v>
      </c>
      <c r="F35" s="722">
        <v>2034.01107</v>
      </c>
      <c r="G35" s="314">
        <v>969.13381500000014</v>
      </c>
      <c r="H35" s="278"/>
      <c r="I35" s="278"/>
      <c r="J35" s="278"/>
      <c r="K35" s="13"/>
      <c r="L35" s="3"/>
      <c r="M35" s="3"/>
      <c r="N35" s="3"/>
    </row>
    <row r="36" spans="1:14">
      <c r="A36" s="291" t="s">
        <v>2380</v>
      </c>
      <c r="B36" s="292">
        <v>2.5</v>
      </c>
      <c r="C36" s="293">
        <v>2800</v>
      </c>
      <c r="D36" s="294" t="s">
        <v>2347</v>
      </c>
      <c r="E36" s="313">
        <v>974.70945000000017</v>
      </c>
      <c r="F36" s="722">
        <v>1963.8590399999998</v>
      </c>
      <c r="G36" s="314">
        <v>935.72739000000001</v>
      </c>
      <c r="H36" s="278"/>
      <c r="I36" s="278"/>
      <c r="J36" s="278"/>
      <c r="K36" s="13"/>
      <c r="L36" s="3"/>
      <c r="M36" s="3"/>
      <c r="N36" s="3"/>
    </row>
    <row r="37" spans="1:14">
      <c r="A37" s="291" t="s">
        <v>2381</v>
      </c>
      <c r="B37" s="292">
        <v>2.5</v>
      </c>
      <c r="C37" s="293">
        <v>2700</v>
      </c>
      <c r="D37" s="294" t="s">
        <v>2347</v>
      </c>
      <c r="E37" s="313">
        <v>939.89727000000005</v>
      </c>
      <c r="F37" s="722">
        <v>1893.7070100000001</v>
      </c>
      <c r="G37" s="314">
        <v>902.28937500000018</v>
      </c>
      <c r="H37" s="278"/>
      <c r="I37" s="278"/>
      <c r="J37" s="278"/>
      <c r="K37" s="13"/>
      <c r="L37" s="3"/>
      <c r="M37" s="3"/>
      <c r="N37" s="3"/>
    </row>
    <row r="38" spans="1:14">
      <c r="A38" s="291" t="s">
        <v>2382</v>
      </c>
      <c r="B38" s="292">
        <v>2.5</v>
      </c>
      <c r="C38" s="293">
        <v>2600</v>
      </c>
      <c r="D38" s="294" t="s">
        <v>2347</v>
      </c>
      <c r="E38" s="313">
        <v>905.08509000000004</v>
      </c>
      <c r="F38" s="722">
        <v>1823.5748700000004</v>
      </c>
      <c r="G38" s="314">
        <v>868.88295000000016</v>
      </c>
      <c r="H38" s="278"/>
      <c r="I38" s="278"/>
      <c r="J38" s="278"/>
      <c r="K38" s="13"/>
      <c r="L38" s="3"/>
      <c r="M38" s="3"/>
      <c r="N38" s="3"/>
    </row>
    <row r="39" spans="1:14">
      <c r="A39" s="291" t="s">
        <v>2383</v>
      </c>
      <c r="B39" s="292">
        <v>2.5</v>
      </c>
      <c r="C39" s="293">
        <v>2500</v>
      </c>
      <c r="D39" s="294" t="s">
        <v>2347</v>
      </c>
      <c r="E39" s="313">
        <v>870.27291000000014</v>
      </c>
      <c r="F39" s="722">
        <v>1753.4427300000002</v>
      </c>
      <c r="G39" s="314">
        <v>835.47652500000015</v>
      </c>
      <c r="H39" s="278"/>
      <c r="I39" s="278"/>
      <c r="J39" s="278"/>
      <c r="K39" s="13"/>
      <c r="L39" s="3"/>
      <c r="M39" s="3"/>
      <c r="N39" s="3"/>
    </row>
    <row r="40" spans="1:14">
      <c r="A40" s="291" t="s">
        <v>2384</v>
      </c>
      <c r="B40" s="292">
        <v>2.5</v>
      </c>
      <c r="C40" s="293">
        <v>2400</v>
      </c>
      <c r="D40" s="294" t="s">
        <v>2347</v>
      </c>
      <c r="E40" s="313">
        <v>835.47652500000015</v>
      </c>
      <c r="F40" s="722">
        <v>1683.3105899999998</v>
      </c>
      <c r="G40" s="314">
        <v>802.05430500000011</v>
      </c>
      <c r="H40" s="278"/>
      <c r="I40" s="278"/>
      <c r="J40" s="278"/>
      <c r="K40" s="13"/>
      <c r="L40" s="3"/>
      <c r="M40" s="3"/>
      <c r="N40" s="3"/>
    </row>
    <row r="41" spans="1:14">
      <c r="A41" s="291" t="s">
        <v>2385</v>
      </c>
      <c r="B41" s="292">
        <v>2.5</v>
      </c>
      <c r="C41" s="293">
        <v>2300</v>
      </c>
      <c r="D41" s="294" t="s">
        <v>2347</v>
      </c>
      <c r="E41" s="313">
        <v>800.66434500000025</v>
      </c>
      <c r="F41" s="722">
        <v>1613.1784499999999</v>
      </c>
      <c r="G41" s="314">
        <v>768.63208500000007</v>
      </c>
      <c r="H41" s="278"/>
      <c r="I41" s="278"/>
      <c r="J41" s="278"/>
      <c r="K41" s="13"/>
      <c r="L41" s="3"/>
      <c r="M41" s="3"/>
      <c r="N41" s="3"/>
    </row>
    <row r="42" spans="1:14">
      <c r="A42" s="291" t="s">
        <v>2386</v>
      </c>
      <c r="B42" s="292">
        <v>2.5</v>
      </c>
      <c r="C42" s="293">
        <v>2200</v>
      </c>
      <c r="D42" s="294" t="s">
        <v>2347</v>
      </c>
      <c r="E42" s="313">
        <v>765.8363700000001</v>
      </c>
      <c r="F42" s="722">
        <v>1543.0463099999999</v>
      </c>
      <c r="G42" s="314">
        <v>735.20986500000026</v>
      </c>
      <c r="H42" s="278"/>
      <c r="I42" s="278"/>
      <c r="J42" s="278"/>
      <c r="K42" s="13"/>
      <c r="L42" s="3"/>
      <c r="M42" s="3"/>
      <c r="N42" s="3"/>
    </row>
    <row r="43" spans="1:14">
      <c r="A43" s="291" t="s">
        <v>2387</v>
      </c>
      <c r="B43" s="292">
        <v>2.5</v>
      </c>
      <c r="C43" s="293">
        <v>2100</v>
      </c>
      <c r="D43" s="294" t="s">
        <v>2347</v>
      </c>
      <c r="E43" s="313">
        <v>731.039985</v>
      </c>
      <c r="F43" s="722">
        <v>1472.89428</v>
      </c>
      <c r="G43" s="314">
        <v>701.78764500000011</v>
      </c>
      <c r="H43" s="278"/>
      <c r="I43" s="278"/>
      <c r="J43" s="278"/>
      <c r="K43" s="13"/>
      <c r="L43" s="3"/>
      <c r="M43" s="3"/>
      <c r="N43" s="3"/>
    </row>
    <row r="44" spans="1:14" s="277" customFormat="1">
      <c r="A44" s="287" t="s">
        <v>2388</v>
      </c>
      <c r="B44" s="288">
        <v>2.5</v>
      </c>
      <c r="C44" s="289">
        <v>2000</v>
      </c>
      <c r="D44" s="290" t="s">
        <v>2347</v>
      </c>
      <c r="E44" s="311">
        <v>696.22780500000022</v>
      </c>
      <c r="F44" s="721">
        <v>1402.74225</v>
      </c>
      <c r="G44" s="312">
        <v>668.36542500000007</v>
      </c>
      <c r="H44" s="278"/>
      <c r="I44" s="278"/>
      <c r="J44" s="278"/>
      <c r="K44" s="13"/>
      <c r="L44" s="3"/>
      <c r="M44" s="3"/>
      <c r="N44" s="3"/>
    </row>
    <row r="45" spans="1:14">
      <c r="A45" s="291" t="s">
        <v>2389</v>
      </c>
      <c r="B45" s="292">
        <v>2.5</v>
      </c>
      <c r="C45" s="293">
        <v>1900</v>
      </c>
      <c r="D45" s="294" t="s">
        <v>2347</v>
      </c>
      <c r="E45" s="313">
        <v>661.41562500000009</v>
      </c>
      <c r="F45" s="722">
        <v>1332.6101100000001</v>
      </c>
      <c r="G45" s="314">
        <v>634.95900000000006</v>
      </c>
      <c r="H45" s="278"/>
      <c r="I45" s="278"/>
      <c r="J45" s="278"/>
      <c r="K45" s="13"/>
      <c r="L45" s="3"/>
      <c r="M45" s="3"/>
      <c r="N45" s="3"/>
    </row>
    <row r="46" spans="1:14">
      <c r="A46" s="291" t="s">
        <v>2390</v>
      </c>
      <c r="B46" s="292">
        <v>2.5</v>
      </c>
      <c r="C46" s="293">
        <v>1800</v>
      </c>
      <c r="D46" s="294" t="s">
        <v>2347</v>
      </c>
      <c r="E46" s="313">
        <v>626.60344499999997</v>
      </c>
      <c r="F46" s="722">
        <v>1262.4779699999999</v>
      </c>
      <c r="G46" s="314">
        <v>601.53678000000002</v>
      </c>
      <c r="H46" s="278"/>
      <c r="I46" s="278"/>
      <c r="J46" s="278"/>
      <c r="K46" s="13"/>
      <c r="L46" s="3"/>
      <c r="M46" s="3"/>
      <c r="N46" s="3"/>
    </row>
    <row r="47" spans="1:14">
      <c r="A47" s="291" t="s">
        <v>2391</v>
      </c>
      <c r="B47" s="292">
        <v>2.5</v>
      </c>
      <c r="C47" s="293">
        <v>1700</v>
      </c>
      <c r="D47" s="294" t="s">
        <v>2347</v>
      </c>
      <c r="E47" s="313">
        <v>591.79126500000007</v>
      </c>
      <c r="F47" s="722">
        <v>1192.34583</v>
      </c>
      <c r="G47" s="314">
        <v>568.1145600000001</v>
      </c>
      <c r="H47" s="278"/>
      <c r="I47" s="278"/>
      <c r="J47" s="278"/>
      <c r="K47" s="13"/>
      <c r="L47" s="3"/>
      <c r="M47" s="3"/>
      <c r="N47" s="3"/>
    </row>
    <row r="48" spans="1:14">
      <c r="A48" s="291" t="s">
        <v>2392</v>
      </c>
      <c r="B48" s="292">
        <v>2.5</v>
      </c>
      <c r="C48" s="293">
        <v>1600</v>
      </c>
      <c r="D48" s="294" t="s">
        <v>2347</v>
      </c>
      <c r="E48" s="313">
        <v>556.97908500000005</v>
      </c>
      <c r="F48" s="722">
        <v>1122.21369</v>
      </c>
      <c r="G48" s="314">
        <v>534.69234000000006</v>
      </c>
      <c r="H48" s="278"/>
      <c r="I48" s="278"/>
      <c r="J48" s="278"/>
      <c r="K48" s="13"/>
      <c r="L48" s="3"/>
      <c r="M48" s="3"/>
      <c r="N48" s="3"/>
    </row>
    <row r="49" spans="1:14">
      <c r="A49" s="291" t="s">
        <v>2393</v>
      </c>
      <c r="B49" s="292">
        <v>2.5</v>
      </c>
      <c r="C49" s="293">
        <v>1500</v>
      </c>
      <c r="D49" s="294" t="s">
        <v>2347</v>
      </c>
      <c r="E49" s="313">
        <v>522.16690500000004</v>
      </c>
      <c r="F49" s="722">
        <v>1052.0815500000001</v>
      </c>
      <c r="G49" s="314">
        <v>501.28591500000005</v>
      </c>
      <c r="H49" s="278"/>
      <c r="I49" s="278"/>
      <c r="J49" s="278"/>
      <c r="K49" s="13"/>
      <c r="L49" s="3"/>
      <c r="M49" s="3"/>
      <c r="N49" s="3"/>
    </row>
    <row r="50" spans="1:14">
      <c r="A50" s="291" t="s">
        <v>2394</v>
      </c>
      <c r="B50" s="292">
        <v>2.5</v>
      </c>
      <c r="C50" s="293">
        <v>1400</v>
      </c>
      <c r="D50" s="294" t="s">
        <v>2347</v>
      </c>
      <c r="E50" s="313">
        <v>487.35472500000009</v>
      </c>
      <c r="F50" s="722">
        <v>981.92951999999991</v>
      </c>
      <c r="G50" s="314">
        <v>467.86369500000001</v>
      </c>
      <c r="H50" s="278"/>
      <c r="I50" s="278"/>
      <c r="J50" s="278"/>
      <c r="K50" s="13"/>
      <c r="L50" s="3"/>
      <c r="M50" s="3"/>
      <c r="N50" s="3"/>
    </row>
    <row r="51" spans="1:14">
      <c r="A51" s="291" t="s">
        <v>2395</v>
      </c>
      <c r="B51" s="292">
        <v>2.5</v>
      </c>
      <c r="C51" s="293">
        <v>1300</v>
      </c>
      <c r="D51" s="294" t="s">
        <v>2347</v>
      </c>
      <c r="E51" s="313">
        <v>452.54254500000002</v>
      </c>
      <c r="F51" s="722">
        <v>911.79737999999998</v>
      </c>
      <c r="G51" s="314">
        <v>434.45727000000011</v>
      </c>
      <c r="H51" s="278"/>
      <c r="I51" s="278"/>
      <c r="J51" s="278"/>
      <c r="K51" s="13"/>
      <c r="L51" s="3"/>
      <c r="M51" s="3"/>
      <c r="N51" s="3"/>
    </row>
    <row r="52" spans="1:14">
      <c r="A52" s="291" t="s">
        <v>2396</v>
      </c>
      <c r="B52" s="292">
        <v>2.5</v>
      </c>
      <c r="C52" s="293">
        <v>1200</v>
      </c>
      <c r="D52" s="294" t="s">
        <v>2347</v>
      </c>
      <c r="E52" s="313">
        <v>417.73036500000006</v>
      </c>
      <c r="F52" s="722">
        <v>841.64535000000001</v>
      </c>
      <c r="G52" s="314">
        <v>401.01925500000004</v>
      </c>
      <c r="H52" s="278"/>
      <c r="I52" s="278"/>
      <c r="J52" s="278"/>
      <c r="K52" s="13"/>
      <c r="L52" s="3"/>
      <c r="M52" s="3"/>
      <c r="N52" s="3"/>
    </row>
    <row r="53" spans="1:14">
      <c r="A53" s="291" t="s">
        <v>2397</v>
      </c>
      <c r="B53" s="292">
        <v>2.5</v>
      </c>
      <c r="C53" s="293">
        <v>1100</v>
      </c>
      <c r="D53" s="294" t="s">
        <v>2347</v>
      </c>
      <c r="E53" s="313">
        <v>382.91818500000005</v>
      </c>
      <c r="F53" s="722">
        <v>771.51320999999996</v>
      </c>
      <c r="G53" s="314">
        <v>367.59703500000006</v>
      </c>
      <c r="H53" s="278"/>
      <c r="I53" s="278"/>
      <c r="J53" s="278"/>
      <c r="K53" s="13"/>
      <c r="L53" s="3"/>
      <c r="M53" s="3"/>
      <c r="N53" s="3"/>
    </row>
    <row r="54" spans="1:14" s="277" customFormat="1">
      <c r="A54" s="287" t="s">
        <v>2398</v>
      </c>
      <c r="B54" s="288">
        <v>2.5</v>
      </c>
      <c r="C54" s="289">
        <v>1000</v>
      </c>
      <c r="D54" s="290" t="s">
        <v>2347</v>
      </c>
      <c r="E54" s="311">
        <v>348.1060050000001</v>
      </c>
      <c r="F54" s="721">
        <v>701.38106999999991</v>
      </c>
      <c r="G54" s="312">
        <v>334.19061000000005</v>
      </c>
      <c r="H54" s="278"/>
      <c r="I54" s="278"/>
      <c r="J54" s="278"/>
      <c r="K54" s="13"/>
      <c r="L54" s="3"/>
      <c r="M54" s="3"/>
      <c r="N54" s="3"/>
    </row>
    <row r="55" spans="1:14">
      <c r="A55" s="291" t="s">
        <v>2399</v>
      </c>
      <c r="B55" s="292">
        <v>2.5</v>
      </c>
      <c r="C55" s="293">
        <v>900</v>
      </c>
      <c r="D55" s="294" t="s">
        <v>2347</v>
      </c>
      <c r="E55" s="313">
        <v>331.91613000000007</v>
      </c>
      <c r="F55" s="722">
        <v>668.74158000000011</v>
      </c>
      <c r="G55" s="314">
        <v>318.64832999999999</v>
      </c>
      <c r="H55" s="278"/>
      <c r="I55" s="278"/>
      <c r="J55" s="278"/>
      <c r="K55" s="13"/>
      <c r="L55" s="3"/>
      <c r="M55" s="3"/>
      <c r="N55" s="3"/>
    </row>
    <row r="56" spans="1:14">
      <c r="A56" s="291" t="s">
        <v>2400</v>
      </c>
      <c r="B56" s="292">
        <v>2.5</v>
      </c>
      <c r="C56" s="293">
        <v>800</v>
      </c>
      <c r="D56" s="294" t="s">
        <v>2347</v>
      </c>
      <c r="E56" s="313">
        <v>306.42300000000006</v>
      </c>
      <c r="F56" s="722">
        <v>617.36570999999992</v>
      </c>
      <c r="G56" s="314">
        <v>294.16608000000008</v>
      </c>
      <c r="H56" s="278"/>
      <c r="I56" s="278"/>
      <c r="J56" s="278"/>
      <c r="K56" s="13"/>
      <c r="L56" s="3"/>
      <c r="M56" s="3"/>
      <c r="N56" s="3"/>
    </row>
    <row r="57" spans="1:14">
      <c r="A57" s="291" t="s">
        <v>2401</v>
      </c>
      <c r="B57" s="292">
        <v>2.5</v>
      </c>
      <c r="C57" s="293">
        <v>700</v>
      </c>
      <c r="D57" s="294" t="s">
        <v>2347</v>
      </c>
      <c r="E57" s="313">
        <v>280.91407500000003</v>
      </c>
      <c r="F57" s="722">
        <v>565.96995000000004</v>
      </c>
      <c r="G57" s="314">
        <v>269.66803500000003</v>
      </c>
      <c r="H57" s="278"/>
      <c r="I57" s="278"/>
      <c r="J57" s="278"/>
      <c r="K57" s="13"/>
      <c r="L57" s="3"/>
      <c r="M57" s="3"/>
      <c r="N57" s="3"/>
    </row>
    <row r="58" spans="1:14">
      <c r="A58" s="291" t="s">
        <v>2402</v>
      </c>
      <c r="B58" s="292">
        <v>2.5</v>
      </c>
      <c r="C58" s="293">
        <v>600</v>
      </c>
      <c r="D58" s="294" t="s">
        <v>2347</v>
      </c>
      <c r="E58" s="313">
        <v>246.10189500000001</v>
      </c>
      <c r="F58" s="722">
        <v>495.83781000000005</v>
      </c>
      <c r="G58" s="314">
        <v>236.24581500000002</v>
      </c>
      <c r="H58" s="278"/>
      <c r="I58" s="278"/>
      <c r="J58" s="278"/>
      <c r="K58" s="13"/>
      <c r="L58" s="3"/>
      <c r="M58" s="3"/>
      <c r="N58" s="3"/>
    </row>
    <row r="59" spans="1:14">
      <c r="A59" s="291" t="s">
        <v>2403</v>
      </c>
      <c r="B59" s="292">
        <v>2.5</v>
      </c>
      <c r="C59" s="293">
        <v>500</v>
      </c>
      <c r="D59" s="294" t="s">
        <v>2347</v>
      </c>
      <c r="E59" s="313">
        <v>211.28971500000003</v>
      </c>
      <c r="F59" s="722">
        <v>425.70567000000005</v>
      </c>
      <c r="G59" s="314">
        <v>202.83939000000001</v>
      </c>
      <c r="H59" s="278"/>
      <c r="I59" s="278"/>
      <c r="J59" s="278"/>
      <c r="K59" s="13"/>
      <c r="L59" s="3"/>
      <c r="M59" s="3"/>
      <c r="N59" s="3"/>
    </row>
    <row r="60" spans="1:14">
      <c r="A60" s="291" t="s">
        <v>2404</v>
      </c>
      <c r="B60" s="292">
        <v>2.5</v>
      </c>
      <c r="C60" s="293">
        <v>400</v>
      </c>
      <c r="D60" s="294" t="s">
        <v>2347</v>
      </c>
      <c r="E60" s="313">
        <v>176.47753500000005</v>
      </c>
      <c r="F60" s="722">
        <v>355.57353000000006</v>
      </c>
      <c r="G60" s="314">
        <v>169.41717000000003</v>
      </c>
      <c r="H60" s="278"/>
      <c r="I60" s="278"/>
      <c r="J60" s="278"/>
      <c r="K60" s="13"/>
      <c r="L60" s="3"/>
      <c r="M60" s="3"/>
      <c r="N60" s="3"/>
    </row>
    <row r="61" spans="1:14" ht="14.95" thickBot="1">
      <c r="A61" s="295" t="s">
        <v>2405</v>
      </c>
      <c r="B61" s="296">
        <v>2.5</v>
      </c>
      <c r="C61" s="297">
        <v>300</v>
      </c>
      <c r="D61" s="298" t="s">
        <v>2347</v>
      </c>
      <c r="E61" s="315">
        <v>141.66535500000001</v>
      </c>
      <c r="F61" s="723">
        <v>285.42150000000004</v>
      </c>
      <c r="G61" s="316">
        <v>136.01074500000001</v>
      </c>
      <c r="H61" s="278"/>
      <c r="I61" s="278"/>
      <c r="J61" s="278"/>
      <c r="K61" s="13"/>
      <c r="L61" s="3"/>
      <c r="M61" s="3"/>
      <c r="N61" s="3"/>
    </row>
    <row r="62" spans="1:14" ht="16.3" thickBot="1">
      <c r="A62" s="934" t="s">
        <v>2406</v>
      </c>
      <c r="B62" s="935"/>
      <c r="C62" s="935"/>
      <c r="D62" s="935"/>
      <c r="E62" s="935"/>
      <c r="F62" s="935"/>
      <c r="G62" s="935"/>
      <c r="H62" s="278"/>
      <c r="I62" s="278"/>
      <c r="J62" s="278"/>
      <c r="K62" s="13"/>
      <c r="L62" s="3"/>
      <c r="M62" s="3"/>
      <c r="N62" s="3"/>
    </row>
    <row r="63" spans="1:14">
      <c r="A63" s="299" t="s">
        <v>2407</v>
      </c>
      <c r="B63" s="300">
        <v>2</v>
      </c>
      <c r="C63" s="301">
        <v>6000</v>
      </c>
      <c r="D63" s="302" t="s">
        <v>2347</v>
      </c>
      <c r="E63" s="303">
        <v>3989.0430450000008</v>
      </c>
      <c r="F63" s="724">
        <v>8037.1710899999998</v>
      </c>
      <c r="G63" s="310">
        <v>3829.4819550000002</v>
      </c>
      <c r="H63" s="278"/>
      <c r="I63" s="278"/>
      <c r="J63" s="278"/>
      <c r="K63" s="13"/>
      <c r="L63" s="3"/>
      <c r="M63" s="3"/>
      <c r="N63" s="3"/>
    </row>
    <row r="64" spans="1:14" s="277" customFormat="1">
      <c r="A64" s="287" t="s">
        <v>2408</v>
      </c>
      <c r="B64" s="288">
        <v>2</v>
      </c>
      <c r="C64" s="289">
        <v>3000</v>
      </c>
      <c r="D64" s="290" t="s">
        <v>2347</v>
      </c>
      <c r="E64" s="305">
        <v>1994.5294200000001</v>
      </c>
      <c r="F64" s="718">
        <v>4018.5954900000006</v>
      </c>
      <c r="G64" s="306">
        <v>1914.73308</v>
      </c>
      <c r="H64" s="278"/>
      <c r="I64" s="278"/>
      <c r="J64" s="278"/>
      <c r="K64" s="13"/>
      <c r="L64" s="3"/>
      <c r="M64" s="3"/>
      <c r="N64" s="3"/>
    </row>
    <row r="65" spans="1:14">
      <c r="A65" s="291" t="s">
        <v>2409</v>
      </c>
      <c r="B65" s="292">
        <v>2</v>
      </c>
      <c r="C65" s="293">
        <v>2900</v>
      </c>
      <c r="D65" s="294" t="s">
        <v>2347</v>
      </c>
      <c r="E65" s="307">
        <v>1928.0324700000003</v>
      </c>
      <c r="F65" s="717">
        <v>3884.6164500000004</v>
      </c>
      <c r="G65" s="304">
        <v>1850.905485</v>
      </c>
      <c r="H65" s="278"/>
      <c r="I65" s="278"/>
      <c r="J65" s="278"/>
      <c r="K65" s="13"/>
      <c r="L65" s="3"/>
      <c r="M65" s="3"/>
      <c r="N65" s="3"/>
    </row>
    <row r="66" spans="1:14">
      <c r="A66" s="291" t="s">
        <v>2410</v>
      </c>
      <c r="B66" s="292">
        <v>2</v>
      </c>
      <c r="C66" s="293">
        <v>2800</v>
      </c>
      <c r="D66" s="294" t="s">
        <v>2347</v>
      </c>
      <c r="E66" s="307">
        <v>1861.5513150000004</v>
      </c>
      <c r="F66" s="717">
        <v>3750.6771900000003</v>
      </c>
      <c r="G66" s="304">
        <v>1787.0936850000003</v>
      </c>
      <c r="H66" s="278"/>
      <c r="I66" s="278"/>
      <c r="J66" s="278"/>
      <c r="K66" s="13"/>
      <c r="L66" s="3"/>
      <c r="M66" s="3"/>
      <c r="N66" s="3"/>
    </row>
    <row r="67" spans="1:14">
      <c r="A67" s="291" t="s">
        <v>2411</v>
      </c>
      <c r="B67" s="292">
        <v>2</v>
      </c>
      <c r="C67" s="293">
        <v>2700</v>
      </c>
      <c r="D67" s="294" t="s">
        <v>2347</v>
      </c>
      <c r="E67" s="307">
        <v>1795.0543650000002</v>
      </c>
      <c r="F67" s="717">
        <v>3616.6782600000001</v>
      </c>
      <c r="G67" s="304">
        <v>1723.2502950000003</v>
      </c>
      <c r="H67" s="278"/>
      <c r="I67" s="278"/>
      <c r="J67" s="278"/>
      <c r="K67" s="13"/>
      <c r="L67" s="3"/>
      <c r="M67" s="3"/>
      <c r="N67" s="3"/>
    </row>
    <row r="68" spans="1:14">
      <c r="A68" s="291" t="s">
        <v>2412</v>
      </c>
      <c r="B68" s="292">
        <v>2</v>
      </c>
      <c r="C68" s="293">
        <v>2600</v>
      </c>
      <c r="D68" s="294" t="s">
        <v>2347</v>
      </c>
      <c r="E68" s="307">
        <v>1728.5732100000005</v>
      </c>
      <c r="F68" s="717">
        <v>3482.739</v>
      </c>
      <c r="G68" s="304">
        <v>1659.4227000000001</v>
      </c>
      <c r="H68" s="278"/>
      <c r="I68" s="278"/>
      <c r="J68" s="278"/>
      <c r="K68" s="13"/>
      <c r="L68" s="3"/>
      <c r="M68" s="3"/>
      <c r="N68" s="3"/>
    </row>
    <row r="69" spans="1:14">
      <c r="A69" s="291" t="s">
        <v>2413</v>
      </c>
      <c r="B69" s="292">
        <v>2</v>
      </c>
      <c r="C69" s="293">
        <v>2500</v>
      </c>
      <c r="D69" s="294" t="s">
        <v>2347</v>
      </c>
      <c r="E69" s="307">
        <v>1662.0920550000001</v>
      </c>
      <c r="F69" s="717">
        <v>3348.7997400000004</v>
      </c>
      <c r="G69" s="304">
        <v>1595.6109000000001</v>
      </c>
      <c r="H69" s="278"/>
      <c r="I69" s="278"/>
      <c r="J69" s="278"/>
      <c r="K69" s="13"/>
      <c r="L69" s="3"/>
      <c r="M69" s="3"/>
      <c r="N69" s="3"/>
    </row>
    <row r="70" spans="1:14">
      <c r="A70" s="291" t="s">
        <v>2414</v>
      </c>
      <c r="B70" s="292">
        <v>2</v>
      </c>
      <c r="C70" s="293">
        <v>2400</v>
      </c>
      <c r="D70" s="294" t="s">
        <v>2347</v>
      </c>
      <c r="E70" s="307">
        <v>1595.6109000000001</v>
      </c>
      <c r="F70" s="717">
        <v>3214.8604799999998</v>
      </c>
      <c r="G70" s="304">
        <v>1531.7833050000004</v>
      </c>
      <c r="H70" s="278"/>
      <c r="I70" s="278"/>
      <c r="J70" s="278"/>
      <c r="K70" s="13"/>
      <c r="L70" s="3"/>
      <c r="M70" s="3"/>
      <c r="N70" s="3"/>
    </row>
    <row r="71" spans="1:14">
      <c r="A71" s="291" t="s">
        <v>2415</v>
      </c>
      <c r="B71" s="292">
        <v>2</v>
      </c>
      <c r="C71" s="293">
        <v>2300</v>
      </c>
      <c r="D71" s="294" t="s">
        <v>2347</v>
      </c>
      <c r="E71" s="307">
        <v>1529.1297450000004</v>
      </c>
      <c r="F71" s="717">
        <v>3080.9212200000002</v>
      </c>
      <c r="G71" s="304">
        <v>1467.9557100000002</v>
      </c>
      <c r="H71" s="278"/>
      <c r="I71" s="278"/>
      <c r="J71" s="278"/>
      <c r="K71" s="13"/>
      <c r="L71" s="3"/>
      <c r="M71" s="3"/>
      <c r="N71" s="3"/>
    </row>
    <row r="72" spans="1:14">
      <c r="A72" s="291" t="s">
        <v>2416</v>
      </c>
      <c r="B72" s="292">
        <v>2</v>
      </c>
      <c r="C72" s="293">
        <v>2200</v>
      </c>
      <c r="D72" s="294" t="s">
        <v>2347</v>
      </c>
      <c r="E72" s="307">
        <v>1462.6327950000002</v>
      </c>
      <c r="F72" s="717">
        <v>2946.92229</v>
      </c>
      <c r="G72" s="304">
        <v>1404.1281150000002</v>
      </c>
      <c r="H72" s="278"/>
      <c r="I72" s="278"/>
      <c r="J72" s="278"/>
      <c r="K72" s="13"/>
      <c r="L72" s="3"/>
      <c r="M72" s="3"/>
      <c r="N72" s="3"/>
    </row>
    <row r="73" spans="1:14">
      <c r="A73" s="291" t="s">
        <v>2417</v>
      </c>
      <c r="B73" s="292">
        <v>2</v>
      </c>
      <c r="C73" s="293">
        <v>2100</v>
      </c>
      <c r="D73" s="294" t="s">
        <v>2347</v>
      </c>
      <c r="E73" s="307">
        <v>1396.1516400000003</v>
      </c>
      <c r="F73" s="717">
        <v>2812.9830299999999</v>
      </c>
      <c r="G73" s="304">
        <v>1340.30052</v>
      </c>
      <c r="H73" s="278"/>
      <c r="I73" s="278"/>
      <c r="J73" s="278"/>
      <c r="K73" s="13"/>
      <c r="L73" s="3"/>
      <c r="M73" s="3"/>
      <c r="N73" s="3"/>
    </row>
    <row r="74" spans="1:14" s="277" customFormat="1">
      <c r="A74" s="287" t="s">
        <v>2418</v>
      </c>
      <c r="B74" s="288">
        <v>2</v>
      </c>
      <c r="C74" s="289">
        <v>2000</v>
      </c>
      <c r="D74" s="290" t="s">
        <v>2347</v>
      </c>
      <c r="E74" s="305">
        <v>1329.6862800000001</v>
      </c>
      <c r="F74" s="718">
        <v>2679.0636600000003</v>
      </c>
      <c r="G74" s="306">
        <v>1276.4887200000001</v>
      </c>
      <c r="H74" s="278"/>
      <c r="I74" s="278"/>
      <c r="J74" s="278"/>
      <c r="K74" s="13"/>
      <c r="L74" s="3"/>
      <c r="M74" s="3"/>
      <c r="N74" s="3"/>
    </row>
    <row r="75" spans="1:14">
      <c r="A75" s="291" t="s">
        <v>2419</v>
      </c>
      <c r="B75" s="292">
        <v>2</v>
      </c>
      <c r="C75" s="293">
        <v>1900</v>
      </c>
      <c r="D75" s="294" t="s">
        <v>2347</v>
      </c>
      <c r="E75" s="307">
        <v>1263.1893300000002</v>
      </c>
      <c r="F75" s="717">
        <v>2545.1045099999997</v>
      </c>
      <c r="G75" s="304">
        <v>1212.6611250000001</v>
      </c>
      <c r="H75" s="278"/>
      <c r="I75" s="278"/>
      <c r="J75" s="278"/>
      <c r="K75" s="13"/>
      <c r="L75" s="3"/>
      <c r="M75" s="3"/>
      <c r="N75" s="3"/>
    </row>
    <row r="76" spans="1:14">
      <c r="A76" s="291" t="s">
        <v>2420</v>
      </c>
      <c r="B76" s="292">
        <v>2</v>
      </c>
      <c r="C76" s="293">
        <v>1800</v>
      </c>
      <c r="D76" s="294" t="s">
        <v>2347</v>
      </c>
      <c r="E76" s="307">
        <v>1196.7081750000002</v>
      </c>
      <c r="F76" s="717">
        <v>2411.14536</v>
      </c>
      <c r="G76" s="304">
        <v>1148.8493250000001</v>
      </c>
      <c r="H76" s="278"/>
      <c r="I76" s="278"/>
      <c r="J76" s="278"/>
      <c r="K76" s="13"/>
      <c r="L76" s="3"/>
      <c r="M76" s="3"/>
      <c r="N76" s="3"/>
    </row>
    <row r="77" spans="1:14">
      <c r="A77" s="291" t="s">
        <v>2421</v>
      </c>
      <c r="B77" s="292">
        <v>2</v>
      </c>
      <c r="C77" s="293">
        <v>1700</v>
      </c>
      <c r="D77" s="294" t="s">
        <v>2347</v>
      </c>
      <c r="E77" s="307">
        <v>1130.211225</v>
      </c>
      <c r="F77" s="717">
        <v>2277.1663200000003</v>
      </c>
      <c r="G77" s="304">
        <v>1085.0059350000001</v>
      </c>
      <c r="H77" s="278"/>
      <c r="I77" s="278"/>
      <c r="J77" s="278"/>
      <c r="K77" s="13"/>
      <c r="L77" s="3"/>
      <c r="M77" s="3"/>
      <c r="N77" s="3"/>
    </row>
    <row r="78" spans="1:14">
      <c r="A78" s="291" t="s">
        <v>2422</v>
      </c>
      <c r="B78" s="292">
        <v>2</v>
      </c>
      <c r="C78" s="293">
        <v>1600</v>
      </c>
      <c r="D78" s="294" t="s">
        <v>2347</v>
      </c>
      <c r="E78" s="307">
        <v>1063.7300700000001</v>
      </c>
      <c r="F78" s="717">
        <v>2143.2270600000002</v>
      </c>
      <c r="G78" s="304">
        <v>1021.1941350000001</v>
      </c>
      <c r="H78" s="278"/>
      <c r="I78" s="278"/>
      <c r="J78" s="278"/>
      <c r="K78" s="13"/>
      <c r="L78" s="3"/>
      <c r="M78" s="3"/>
      <c r="N78" s="3"/>
    </row>
    <row r="79" spans="1:14">
      <c r="A79" s="291" t="s">
        <v>2423</v>
      </c>
      <c r="B79" s="292">
        <v>2</v>
      </c>
      <c r="C79" s="293">
        <v>1500</v>
      </c>
      <c r="D79" s="294" t="s">
        <v>2347</v>
      </c>
      <c r="E79" s="307">
        <v>997.24891500000024</v>
      </c>
      <c r="F79" s="717">
        <v>2009.2877999999998</v>
      </c>
      <c r="G79" s="304">
        <v>957.36653999999999</v>
      </c>
      <c r="H79" s="278"/>
      <c r="I79" s="278"/>
      <c r="J79" s="278"/>
      <c r="K79" s="13"/>
      <c r="L79" s="3"/>
      <c r="M79" s="3"/>
      <c r="N79" s="3"/>
    </row>
    <row r="80" spans="1:14">
      <c r="A80" s="291" t="s">
        <v>2424</v>
      </c>
      <c r="B80" s="292">
        <v>2</v>
      </c>
      <c r="C80" s="293">
        <v>1400</v>
      </c>
      <c r="D80" s="294" t="s">
        <v>2347</v>
      </c>
      <c r="E80" s="307">
        <v>930.76775999999995</v>
      </c>
      <c r="F80" s="717">
        <v>1875.3286500000002</v>
      </c>
      <c r="G80" s="304">
        <v>893.53894500000024</v>
      </c>
      <c r="H80" s="278"/>
      <c r="I80" s="278"/>
      <c r="J80" s="278"/>
      <c r="K80" s="13"/>
      <c r="L80" s="3"/>
      <c r="M80" s="3"/>
      <c r="N80" s="3"/>
    </row>
    <row r="81" spans="1:14">
      <c r="A81" s="291" t="s">
        <v>2425</v>
      </c>
      <c r="B81" s="292">
        <v>2</v>
      </c>
      <c r="C81" s="293">
        <v>1300</v>
      </c>
      <c r="D81" s="294" t="s">
        <v>2347</v>
      </c>
      <c r="E81" s="307">
        <v>864.30240000000026</v>
      </c>
      <c r="F81" s="717">
        <v>1741.38939</v>
      </c>
      <c r="G81" s="304">
        <v>829.72714499999995</v>
      </c>
      <c r="H81" s="278"/>
      <c r="I81" s="278"/>
      <c r="J81" s="278"/>
      <c r="K81" s="13"/>
      <c r="L81" s="3"/>
      <c r="M81" s="3"/>
      <c r="N81" s="3"/>
    </row>
    <row r="82" spans="1:14">
      <c r="A82" s="291" t="s">
        <v>2426</v>
      </c>
      <c r="B82" s="292">
        <v>2</v>
      </c>
      <c r="C82" s="293">
        <v>1200</v>
      </c>
      <c r="D82" s="294" t="s">
        <v>2347</v>
      </c>
      <c r="E82" s="307">
        <v>797.78965500000004</v>
      </c>
      <c r="F82" s="717">
        <v>1607.4103500000001</v>
      </c>
      <c r="G82" s="304">
        <v>765.88375499999995</v>
      </c>
      <c r="H82" s="278"/>
      <c r="I82" s="278"/>
      <c r="J82" s="278"/>
      <c r="K82" s="13"/>
      <c r="L82" s="3"/>
      <c r="M82" s="3"/>
      <c r="N82" s="3"/>
    </row>
    <row r="83" spans="1:14">
      <c r="A83" s="291" t="s">
        <v>2427</v>
      </c>
      <c r="B83" s="292">
        <v>2</v>
      </c>
      <c r="C83" s="293">
        <v>1100</v>
      </c>
      <c r="D83" s="294" t="s">
        <v>2347</v>
      </c>
      <c r="E83" s="307">
        <v>731.30850000000009</v>
      </c>
      <c r="F83" s="717">
        <v>1473.47109</v>
      </c>
      <c r="G83" s="304">
        <v>702.0561600000002</v>
      </c>
      <c r="H83" s="278"/>
      <c r="I83" s="278"/>
      <c r="J83" s="278"/>
      <c r="K83" s="13"/>
      <c r="L83" s="3"/>
      <c r="M83" s="3"/>
      <c r="N83" s="3"/>
    </row>
    <row r="84" spans="1:14" s="277" customFormat="1">
      <c r="A84" s="287" t="s">
        <v>2428</v>
      </c>
      <c r="B84" s="288">
        <v>2</v>
      </c>
      <c r="C84" s="289">
        <v>1000</v>
      </c>
      <c r="D84" s="290" t="s">
        <v>2347</v>
      </c>
      <c r="E84" s="305">
        <v>664.84314000000006</v>
      </c>
      <c r="F84" s="718">
        <v>1339.5119400000001</v>
      </c>
      <c r="G84" s="306">
        <v>638.24436000000003</v>
      </c>
      <c r="H84" s="278"/>
      <c r="I84" s="278"/>
      <c r="J84" s="278"/>
      <c r="K84" s="13"/>
      <c r="L84" s="3"/>
      <c r="M84" s="3"/>
      <c r="N84" s="3"/>
    </row>
    <row r="85" spans="1:14">
      <c r="A85" s="291" t="s">
        <v>2429</v>
      </c>
      <c r="B85" s="292">
        <v>2</v>
      </c>
      <c r="C85" s="293">
        <v>900</v>
      </c>
      <c r="D85" s="294" t="s">
        <v>2347</v>
      </c>
      <c r="E85" s="307">
        <v>620.08010999999999</v>
      </c>
      <c r="F85" s="717">
        <v>672.40134</v>
      </c>
      <c r="G85" s="304">
        <v>320.38578000000001</v>
      </c>
      <c r="H85" s="278"/>
      <c r="I85" s="278"/>
      <c r="J85" s="278"/>
      <c r="K85" s="13"/>
      <c r="L85" s="3"/>
      <c r="M85" s="3"/>
      <c r="N85" s="3"/>
    </row>
    <row r="86" spans="1:14">
      <c r="A86" s="291" t="s">
        <v>2430</v>
      </c>
      <c r="B86" s="292">
        <v>2</v>
      </c>
      <c r="C86" s="293">
        <v>800</v>
      </c>
      <c r="D86" s="294" t="s">
        <v>2347</v>
      </c>
      <c r="E86" s="307">
        <v>564.45012000000008</v>
      </c>
      <c r="F86" s="717">
        <v>623.59127999999998</v>
      </c>
      <c r="G86" s="304">
        <v>297.11974500000008</v>
      </c>
      <c r="H86" s="278"/>
      <c r="I86" s="278"/>
      <c r="J86" s="278"/>
      <c r="K86" s="13"/>
      <c r="L86" s="3"/>
      <c r="M86" s="3"/>
      <c r="N86" s="3"/>
    </row>
    <row r="87" spans="1:14">
      <c r="A87" s="291" t="s">
        <v>2431</v>
      </c>
      <c r="B87" s="292">
        <v>2</v>
      </c>
      <c r="C87" s="293">
        <v>700</v>
      </c>
      <c r="D87" s="294" t="s">
        <v>2347</v>
      </c>
      <c r="E87" s="307">
        <v>508.82013000000001</v>
      </c>
      <c r="F87" s="717">
        <v>574.82100000000003</v>
      </c>
      <c r="G87" s="304">
        <v>273.88530000000003</v>
      </c>
      <c r="H87" s="278"/>
      <c r="I87" s="278"/>
      <c r="J87" s="278"/>
      <c r="K87" s="13"/>
      <c r="L87" s="3"/>
      <c r="M87" s="3"/>
      <c r="N87" s="3"/>
    </row>
    <row r="88" spans="1:14">
      <c r="A88" s="291" t="s">
        <v>2432</v>
      </c>
      <c r="B88" s="292">
        <v>2</v>
      </c>
      <c r="C88" s="293">
        <v>600</v>
      </c>
      <c r="D88" s="294" t="s">
        <v>2347</v>
      </c>
      <c r="E88" s="307">
        <v>442.33897500000012</v>
      </c>
      <c r="F88" s="717">
        <v>504.82809000000009</v>
      </c>
      <c r="G88" s="304">
        <v>240.52626000000001</v>
      </c>
      <c r="H88" s="278"/>
      <c r="I88" s="278"/>
      <c r="J88" s="278"/>
      <c r="K88" s="13"/>
      <c r="L88" s="3"/>
      <c r="M88" s="3"/>
      <c r="N88" s="3"/>
    </row>
    <row r="89" spans="1:14">
      <c r="A89" s="291" t="s">
        <v>2433</v>
      </c>
      <c r="B89" s="292">
        <v>2</v>
      </c>
      <c r="C89" s="293">
        <v>500</v>
      </c>
      <c r="D89" s="294" t="s">
        <v>2347</v>
      </c>
      <c r="E89" s="307">
        <v>375.85782000000006</v>
      </c>
      <c r="F89" s="717">
        <v>434.81529000000006</v>
      </c>
      <c r="G89" s="304">
        <v>207.16722000000001</v>
      </c>
      <c r="H89" s="278"/>
      <c r="I89" s="278"/>
      <c r="J89" s="278"/>
      <c r="K89" s="13"/>
      <c r="L89" s="3"/>
      <c r="M89" s="3"/>
      <c r="N89" s="3"/>
    </row>
    <row r="90" spans="1:14">
      <c r="A90" s="291" t="s">
        <v>2434</v>
      </c>
      <c r="B90" s="292">
        <v>2</v>
      </c>
      <c r="C90" s="293">
        <v>400</v>
      </c>
      <c r="D90" s="294" t="s">
        <v>2347</v>
      </c>
      <c r="E90" s="307">
        <v>309.37666500000006</v>
      </c>
      <c r="F90" s="717">
        <v>364.82238000000001</v>
      </c>
      <c r="G90" s="304">
        <v>173.80818000000005</v>
      </c>
      <c r="H90" s="278"/>
      <c r="I90" s="278"/>
      <c r="J90" s="278"/>
      <c r="K90" s="13"/>
      <c r="L90" s="3"/>
      <c r="M90" s="3"/>
      <c r="N90" s="3"/>
    </row>
    <row r="91" spans="1:14" ht="14.95" thickBot="1">
      <c r="A91" s="295" t="s">
        <v>2435</v>
      </c>
      <c r="B91" s="296">
        <v>2</v>
      </c>
      <c r="C91" s="297">
        <v>300</v>
      </c>
      <c r="D91" s="298" t="s">
        <v>2347</v>
      </c>
      <c r="E91" s="308">
        <v>242.89551000000003</v>
      </c>
      <c r="F91" s="719">
        <v>294.80958000000004</v>
      </c>
      <c r="G91" s="309">
        <v>140.46493500000003</v>
      </c>
      <c r="H91" s="278"/>
      <c r="I91" s="278"/>
      <c r="J91" s="278"/>
      <c r="K91" s="13"/>
      <c r="L91" s="3"/>
      <c r="M91" s="3"/>
      <c r="N91" s="3"/>
    </row>
    <row r="92" spans="1:14" ht="16.3" thickBot="1">
      <c r="A92" s="934" t="s">
        <v>2436</v>
      </c>
      <c r="B92" s="935"/>
      <c r="C92" s="935"/>
      <c r="D92" s="935"/>
      <c r="E92" s="935"/>
      <c r="F92" s="935"/>
      <c r="G92" s="935"/>
      <c r="H92" s="278"/>
      <c r="I92" s="278"/>
      <c r="J92" s="278"/>
      <c r="K92" s="13"/>
      <c r="L92" s="3"/>
      <c r="M92" s="3"/>
      <c r="N92" s="3"/>
    </row>
    <row r="93" spans="1:14">
      <c r="A93" s="299" t="s">
        <v>2437</v>
      </c>
      <c r="B93" s="300">
        <v>2.5</v>
      </c>
      <c r="C93" s="301">
        <v>6000</v>
      </c>
      <c r="D93" s="302" t="s">
        <v>2347</v>
      </c>
      <c r="E93" s="303">
        <v>5221.6532550000011</v>
      </c>
      <c r="F93" s="724">
        <v>10520.676270000002</v>
      </c>
      <c r="G93" s="310">
        <v>5012.7959700000001</v>
      </c>
      <c r="H93" s="278"/>
      <c r="I93" s="278"/>
      <c r="J93" s="278"/>
      <c r="K93" s="13"/>
      <c r="L93" s="3"/>
      <c r="M93" s="3"/>
      <c r="N93" s="3"/>
    </row>
    <row r="94" spans="1:14" s="277" customFormat="1" ht="17.350000000000001" customHeight="1">
      <c r="A94" s="287" t="s">
        <v>2438</v>
      </c>
      <c r="B94" s="288">
        <v>2.5</v>
      </c>
      <c r="C94" s="289">
        <v>3000</v>
      </c>
      <c r="D94" s="290" t="s">
        <v>2347</v>
      </c>
      <c r="E94" s="305">
        <v>2610.8187300000004</v>
      </c>
      <c r="F94" s="718">
        <v>5260.3281900000002</v>
      </c>
      <c r="G94" s="306">
        <v>2506.3979850000001</v>
      </c>
      <c r="H94" s="278"/>
      <c r="I94" s="278"/>
      <c r="J94" s="278"/>
      <c r="K94" s="13"/>
      <c r="L94" s="3"/>
      <c r="M94" s="3"/>
      <c r="N94" s="3"/>
    </row>
    <row r="95" spans="1:14">
      <c r="A95" s="291" t="s">
        <v>2439</v>
      </c>
      <c r="B95" s="292">
        <v>2.5</v>
      </c>
      <c r="C95" s="293">
        <v>2900</v>
      </c>
      <c r="D95" s="294" t="s">
        <v>2347</v>
      </c>
      <c r="E95" s="307">
        <v>2523.804075</v>
      </c>
      <c r="F95" s="717">
        <v>5084.99784</v>
      </c>
      <c r="G95" s="304">
        <v>2422.8582300000003</v>
      </c>
      <c r="H95" s="278"/>
      <c r="I95" s="278"/>
      <c r="J95" s="278"/>
      <c r="K95" s="13"/>
      <c r="L95" s="3"/>
      <c r="M95" s="3"/>
      <c r="N95" s="3"/>
    </row>
    <row r="96" spans="1:14">
      <c r="A96" s="291" t="s">
        <v>2440</v>
      </c>
      <c r="B96" s="292">
        <v>2.5</v>
      </c>
      <c r="C96" s="293">
        <v>2800</v>
      </c>
      <c r="D96" s="294" t="s">
        <v>2347</v>
      </c>
      <c r="E96" s="307">
        <v>2436.7736250000003</v>
      </c>
      <c r="F96" s="717">
        <v>4909.6476000000002</v>
      </c>
      <c r="G96" s="304">
        <v>2339.318475</v>
      </c>
      <c r="H96" s="278"/>
      <c r="I96" s="278"/>
      <c r="J96" s="278"/>
      <c r="K96" s="13"/>
      <c r="L96" s="3"/>
      <c r="M96" s="3"/>
      <c r="N96" s="3"/>
    </row>
    <row r="97" spans="1:14">
      <c r="A97" s="291" t="s">
        <v>2441</v>
      </c>
      <c r="B97" s="292">
        <v>2.5</v>
      </c>
      <c r="C97" s="293">
        <v>2700</v>
      </c>
      <c r="D97" s="294" t="s">
        <v>2347</v>
      </c>
      <c r="E97" s="307">
        <v>2349.7431750000005</v>
      </c>
      <c r="F97" s="717">
        <v>4734.2973599999996</v>
      </c>
      <c r="G97" s="304">
        <v>2255.7471300000002</v>
      </c>
      <c r="H97" s="278"/>
      <c r="I97" s="278"/>
      <c r="J97" s="278"/>
      <c r="K97" s="13"/>
      <c r="L97" s="3"/>
      <c r="M97" s="3"/>
      <c r="N97" s="3"/>
    </row>
    <row r="98" spans="1:14">
      <c r="A98" s="291" t="s">
        <v>2442</v>
      </c>
      <c r="B98" s="292">
        <v>2.5</v>
      </c>
      <c r="C98" s="293">
        <v>2600</v>
      </c>
      <c r="D98" s="294" t="s">
        <v>2347</v>
      </c>
      <c r="E98" s="307">
        <v>2262.7127250000003</v>
      </c>
      <c r="F98" s="717">
        <v>4558.9670100000003</v>
      </c>
      <c r="G98" s="304">
        <v>2172.207375</v>
      </c>
      <c r="H98" s="278"/>
      <c r="I98" s="278"/>
      <c r="J98" s="278"/>
      <c r="K98" s="13"/>
      <c r="L98" s="3"/>
      <c r="M98" s="3"/>
      <c r="N98" s="3"/>
    </row>
    <row r="99" spans="1:14">
      <c r="A99" s="291" t="s">
        <v>2443</v>
      </c>
      <c r="B99" s="292">
        <v>2.5</v>
      </c>
      <c r="C99" s="293">
        <v>2500</v>
      </c>
      <c r="D99" s="294" t="s">
        <v>2347</v>
      </c>
      <c r="E99" s="307">
        <v>2175.6822750000001</v>
      </c>
      <c r="F99" s="717">
        <v>4383.6167700000005</v>
      </c>
      <c r="G99" s="304">
        <v>2088.6676200000002</v>
      </c>
      <c r="H99" s="278"/>
      <c r="I99" s="278"/>
      <c r="J99" s="278"/>
      <c r="K99" s="13"/>
      <c r="L99" s="3"/>
      <c r="M99" s="3"/>
      <c r="N99" s="3"/>
    </row>
    <row r="100" spans="1:14">
      <c r="A100" s="291" t="s">
        <v>2444</v>
      </c>
      <c r="B100" s="292">
        <v>2.5</v>
      </c>
      <c r="C100" s="293">
        <v>2400</v>
      </c>
      <c r="D100" s="294" t="s">
        <v>2347</v>
      </c>
      <c r="E100" s="307">
        <v>2088.6676200000002</v>
      </c>
      <c r="F100" s="717">
        <v>4208.2665300000008</v>
      </c>
      <c r="G100" s="304">
        <v>2005.1278650000004</v>
      </c>
      <c r="H100" s="278"/>
      <c r="I100" s="278"/>
      <c r="J100" s="278"/>
      <c r="K100" s="13"/>
      <c r="L100" s="3"/>
      <c r="M100" s="3"/>
      <c r="N100" s="3"/>
    </row>
    <row r="101" spans="1:14">
      <c r="A101" s="291" t="s">
        <v>2445</v>
      </c>
      <c r="B101" s="292">
        <v>2.5</v>
      </c>
      <c r="C101" s="293">
        <v>2300</v>
      </c>
      <c r="D101" s="294" t="s">
        <v>2347</v>
      </c>
      <c r="E101" s="307">
        <v>2001.6371700000004</v>
      </c>
      <c r="F101" s="717">
        <v>4032.9162899999997</v>
      </c>
      <c r="G101" s="304">
        <v>1921.5881100000001</v>
      </c>
      <c r="H101" s="278"/>
      <c r="I101" s="278"/>
      <c r="J101" s="278"/>
      <c r="K101" s="13"/>
      <c r="L101" s="3"/>
      <c r="M101" s="3"/>
      <c r="N101" s="3"/>
    </row>
    <row r="102" spans="1:14">
      <c r="A102" s="291" t="s">
        <v>2446</v>
      </c>
      <c r="B102" s="292">
        <v>2.5</v>
      </c>
      <c r="C102" s="293">
        <v>2200</v>
      </c>
      <c r="D102" s="294" t="s">
        <v>2347</v>
      </c>
      <c r="E102" s="307">
        <v>1914.6067200000005</v>
      </c>
      <c r="F102" s="717">
        <v>3857.5859399999999</v>
      </c>
      <c r="G102" s="304">
        <v>1838.0009700000007</v>
      </c>
      <c r="H102" s="278"/>
      <c r="I102" s="278"/>
      <c r="J102" s="278"/>
      <c r="K102" s="13"/>
      <c r="L102" s="3"/>
      <c r="M102" s="3"/>
      <c r="N102" s="3"/>
    </row>
    <row r="103" spans="1:14">
      <c r="A103" s="291" t="s">
        <v>2447</v>
      </c>
      <c r="B103" s="292">
        <v>2.5</v>
      </c>
      <c r="C103" s="293">
        <v>2100</v>
      </c>
      <c r="D103" s="294" t="s">
        <v>2347</v>
      </c>
      <c r="E103" s="307">
        <v>1827.57627</v>
      </c>
      <c r="F103" s="717">
        <v>3682.2357000000002</v>
      </c>
      <c r="G103" s="304">
        <v>1754.4770100000003</v>
      </c>
      <c r="H103" s="278"/>
      <c r="I103" s="278"/>
      <c r="J103" s="278"/>
      <c r="K103" s="13"/>
      <c r="L103" s="3"/>
      <c r="M103" s="3"/>
      <c r="N103" s="3"/>
    </row>
    <row r="104" spans="1:14" s="277" customFormat="1" ht="16.5" customHeight="1">
      <c r="A104" s="287" t="s">
        <v>2448</v>
      </c>
      <c r="B104" s="288">
        <v>2.5</v>
      </c>
      <c r="C104" s="289">
        <v>2000</v>
      </c>
      <c r="D104" s="290" t="s">
        <v>2347</v>
      </c>
      <c r="E104" s="305">
        <v>1740.5458200000003</v>
      </c>
      <c r="F104" s="718">
        <v>3506.8854600000004</v>
      </c>
      <c r="G104" s="306">
        <v>1670.9372550000005</v>
      </c>
      <c r="H104" s="278"/>
      <c r="I104" s="278"/>
      <c r="J104" s="278"/>
      <c r="K104" s="13"/>
      <c r="L104" s="3"/>
      <c r="M104" s="3"/>
      <c r="N104" s="3"/>
    </row>
    <row r="105" spans="1:14">
      <c r="A105" s="291" t="s">
        <v>2449</v>
      </c>
      <c r="B105" s="292">
        <v>2.5</v>
      </c>
      <c r="C105" s="293">
        <v>1900</v>
      </c>
      <c r="D105" s="294" t="s">
        <v>2347</v>
      </c>
      <c r="E105" s="307">
        <v>1653.5311649999999</v>
      </c>
      <c r="F105" s="717">
        <v>3331.5551100000002</v>
      </c>
      <c r="G105" s="304">
        <v>1587.3975000000003</v>
      </c>
      <c r="H105" s="278"/>
      <c r="I105" s="278"/>
      <c r="J105" s="278"/>
      <c r="K105" s="13"/>
      <c r="L105" s="3"/>
      <c r="M105" s="3"/>
      <c r="N105" s="3"/>
    </row>
    <row r="106" spans="1:14">
      <c r="A106" s="291" t="s">
        <v>2450</v>
      </c>
      <c r="B106" s="292">
        <v>2.5</v>
      </c>
      <c r="C106" s="293">
        <v>1800</v>
      </c>
      <c r="D106" s="294" t="s">
        <v>2347</v>
      </c>
      <c r="E106" s="307">
        <v>1566.5007149999999</v>
      </c>
      <c r="F106" s="717">
        <v>3156.2048699999996</v>
      </c>
      <c r="G106" s="304">
        <v>1503.8577450000003</v>
      </c>
      <c r="H106" s="278"/>
      <c r="I106" s="278"/>
      <c r="J106" s="278"/>
      <c r="K106" s="13"/>
      <c r="L106" s="3"/>
      <c r="M106" s="3"/>
      <c r="N106" s="3"/>
    </row>
    <row r="107" spans="1:14">
      <c r="A107" s="291" t="s">
        <v>2451</v>
      </c>
      <c r="B107" s="292">
        <v>2.5</v>
      </c>
      <c r="C107" s="293">
        <v>1700</v>
      </c>
      <c r="D107" s="294" t="s">
        <v>2347</v>
      </c>
      <c r="E107" s="307">
        <v>1479.4702650000002</v>
      </c>
      <c r="F107" s="717">
        <v>2980.8546300000003</v>
      </c>
      <c r="G107" s="304">
        <v>1420.2706050000002</v>
      </c>
      <c r="H107" s="278"/>
      <c r="I107" s="278"/>
      <c r="J107" s="278"/>
      <c r="K107" s="13"/>
      <c r="L107" s="3"/>
      <c r="M107" s="3"/>
      <c r="N107" s="3"/>
    </row>
    <row r="108" spans="1:14">
      <c r="A108" s="291" t="s">
        <v>2452</v>
      </c>
      <c r="B108" s="292">
        <v>2.5</v>
      </c>
      <c r="C108" s="293">
        <v>1600</v>
      </c>
      <c r="D108" s="294" t="s">
        <v>2347</v>
      </c>
      <c r="E108" s="307">
        <v>1392.4398150000004</v>
      </c>
      <c r="F108" s="717">
        <v>2805.5043900000001</v>
      </c>
      <c r="G108" s="304">
        <v>1336.7466449999999</v>
      </c>
      <c r="H108" s="278"/>
      <c r="I108" s="278"/>
      <c r="J108" s="278"/>
      <c r="K108" s="13"/>
      <c r="L108" s="3"/>
      <c r="M108" s="3"/>
      <c r="N108" s="3"/>
    </row>
    <row r="109" spans="1:14">
      <c r="A109" s="291" t="s">
        <v>2453</v>
      </c>
      <c r="B109" s="292">
        <v>2.5</v>
      </c>
      <c r="C109" s="293">
        <v>1500</v>
      </c>
      <c r="D109" s="294" t="s">
        <v>2347</v>
      </c>
      <c r="E109" s="307">
        <v>1305.4093650000002</v>
      </c>
      <c r="F109" s="717">
        <v>2630.1740399999999</v>
      </c>
      <c r="G109" s="304">
        <v>1253.1910950000001</v>
      </c>
      <c r="H109" s="278"/>
      <c r="I109" s="278"/>
      <c r="J109" s="278"/>
      <c r="K109" s="13"/>
      <c r="L109" s="3"/>
      <c r="M109" s="3"/>
      <c r="N109" s="3"/>
    </row>
    <row r="110" spans="1:14">
      <c r="A110" s="291" t="s">
        <v>2454</v>
      </c>
      <c r="B110" s="292">
        <v>2.5</v>
      </c>
      <c r="C110" s="293">
        <v>1400</v>
      </c>
      <c r="D110" s="294" t="s">
        <v>2347</v>
      </c>
      <c r="E110" s="307">
        <v>1218.39471</v>
      </c>
      <c r="F110" s="717">
        <v>2454.8238000000001</v>
      </c>
      <c r="G110" s="304">
        <v>1169.6829300000002</v>
      </c>
      <c r="H110" s="278"/>
      <c r="I110" s="278"/>
      <c r="J110" s="278"/>
      <c r="K110" s="13"/>
      <c r="L110" s="3"/>
      <c r="M110" s="3"/>
      <c r="N110" s="3"/>
    </row>
    <row r="111" spans="1:14">
      <c r="A111" s="291" t="s">
        <v>2455</v>
      </c>
      <c r="B111" s="292">
        <v>2.5</v>
      </c>
      <c r="C111" s="293">
        <v>1300</v>
      </c>
      <c r="D111" s="294" t="s">
        <v>2347</v>
      </c>
      <c r="E111" s="307">
        <v>1131.3642600000001</v>
      </c>
      <c r="F111" s="717">
        <v>2279.4735599999999</v>
      </c>
      <c r="G111" s="304">
        <v>1086.1273800000001</v>
      </c>
      <c r="H111" s="278"/>
      <c r="I111" s="278"/>
      <c r="J111" s="278"/>
      <c r="K111" s="13"/>
      <c r="L111" s="3"/>
      <c r="M111" s="3"/>
      <c r="N111" s="3"/>
    </row>
    <row r="112" spans="1:14">
      <c r="A112" s="291" t="s">
        <v>2456</v>
      </c>
      <c r="B112" s="292">
        <v>2.5</v>
      </c>
      <c r="C112" s="293">
        <v>1200</v>
      </c>
      <c r="D112" s="294" t="s">
        <v>2347</v>
      </c>
      <c r="E112" s="307">
        <v>1044.3338100000001</v>
      </c>
      <c r="F112" s="717">
        <v>2104.1432100000006</v>
      </c>
      <c r="G112" s="304">
        <v>1002.5402400000002</v>
      </c>
      <c r="H112" s="278"/>
      <c r="I112" s="278"/>
      <c r="J112" s="278"/>
      <c r="K112" s="13"/>
      <c r="L112" s="3"/>
      <c r="M112" s="3"/>
      <c r="N112" s="3"/>
    </row>
    <row r="113" spans="1:14">
      <c r="A113" s="291" t="s">
        <v>2457</v>
      </c>
      <c r="B113" s="292">
        <v>2.5</v>
      </c>
      <c r="C113" s="293">
        <v>1100</v>
      </c>
      <c r="D113" s="294" t="s">
        <v>2347</v>
      </c>
      <c r="E113" s="307">
        <v>957.30336000000023</v>
      </c>
      <c r="F113" s="717">
        <v>1928.79297</v>
      </c>
      <c r="G113" s="304">
        <v>919.01628000000017</v>
      </c>
      <c r="H113" s="278"/>
      <c r="I113" s="278"/>
      <c r="J113" s="278"/>
      <c r="K113" s="13"/>
      <c r="L113" s="3"/>
      <c r="M113" s="3"/>
      <c r="N113" s="3"/>
    </row>
    <row r="114" spans="1:14" s="277" customFormat="1" ht="18" customHeight="1">
      <c r="A114" s="287" t="s">
        <v>2458</v>
      </c>
      <c r="B114" s="288">
        <v>2.5</v>
      </c>
      <c r="C114" s="289">
        <v>1000</v>
      </c>
      <c r="D114" s="290" t="s">
        <v>2347</v>
      </c>
      <c r="E114" s="305">
        <v>870.27291000000014</v>
      </c>
      <c r="F114" s="718">
        <v>1753.4427300000002</v>
      </c>
      <c r="G114" s="306">
        <v>835.47652500000015</v>
      </c>
      <c r="H114" s="278"/>
      <c r="I114" s="278"/>
      <c r="J114" s="278"/>
      <c r="K114" s="13"/>
      <c r="L114" s="3"/>
      <c r="M114" s="3"/>
      <c r="N114" s="3"/>
    </row>
    <row r="115" spans="1:14">
      <c r="A115" s="291" t="s">
        <v>2459</v>
      </c>
      <c r="B115" s="292">
        <v>2.5</v>
      </c>
      <c r="C115" s="293">
        <v>900</v>
      </c>
      <c r="D115" s="294" t="s">
        <v>2347</v>
      </c>
      <c r="E115" s="307">
        <v>829.77453000000014</v>
      </c>
      <c r="F115" s="717">
        <v>1671.8738400000002</v>
      </c>
      <c r="G115" s="304">
        <v>796.62082500000008</v>
      </c>
      <c r="H115" s="278"/>
      <c r="I115" s="278"/>
      <c r="J115" s="278"/>
      <c r="K115" s="13"/>
      <c r="L115" s="3"/>
      <c r="M115" s="3"/>
      <c r="N115" s="3"/>
    </row>
    <row r="116" spans="1:14">
      <c r="A116" s="291" t="s">
        <v>2460</v>
      </c>
      <c r="B116" s="292">
        <v>2.5</v>
      </c>
      <c r="C116" s="293">
        <v>800</v>
      </c>
      <c r="D116" s="294" t="s">
        <v>2347</v>
      </c>
      <c r="E116" s="307">
        <v>766.02591000000007</v>
      </c>
      <c r="F116" s="717">
        <v>1543.4043300000001</v>
      </c>
      <c r="G116" s="304">
        <v>735.399405</v>
      </c>
      <c r="H116" s="278"/>
      <c r="I116" s="278"/>
      <c r="J116" s="278"/>
      <c r="K116" s="13"/>
      <c r="L116" s="3"/>
      <c r="M116" s="3"/>
      <c r="N116" s="3"/>
    </row>
    <row r="117" spans="1:14">
      <c r="A117" s="291" t="s">
        <v>2461</v>
      </c>
      <c r="B117" s="292">
        <v>2.5</v>
      </c>
      <c r="C117" s="293">
        <v>700</v>
      </c>
      <c r="D117" s="294" t="s">
        <v>2347</v>
      </c>
      <c r="E117" s="307">
        <v>702.27728999999999</v>
      </c>
      <c r="F117" s="717">
        <v>1414.95471</v>
      </c>
      <c r="G117" s="304">
        <v>674.16219000000001</v>
      </c>
      <c r="H117" s="278"/>
      <c r="I117" s="278"/>
      <c r="J117" s="278"/>
      <c r="K117" s="13"/>
      <c r="L117" s="3"/>
      <c r="M117" s="3"/>
      <c r="N117" s="3"/>
    </row>
    <row r="118" spans="1:14">
      <c r="A118" s="291" t="s">
        <v>2462</v>
      </c>
      <c r="B118" s="292">
        <v>2.5</v>
      </c>
      <c r="C118" s="293">
        <v>600</v>
      </c>
      <c r="D118" s="294" t="s">
        <v>2347</v>
      </c>
      <c r="E118" s="307">
        <v>615.24684000000002</v>
      </c>
      <c r="F118" s="717">
        <v>1239.60447</v>
      </c>
      <c r="G118" s="304">
        <v>590.63823000000014</v>
      </c>
      <c r="H118" s="278"/>
      <c r="I118" s="278"/>
      <c r="J118" s="278"/>
      <c r="K118" s="13"/>
      <c r="L118" s="3"/>
      <c r="M118" s="3"/>
      <c r="N118" s="3"/>
    </row>
    <row r="119" spans="1:14">
      <c r="A119" s="291" t="s">
        <v>2463</v>
      </c>
      <c r="B119" s="292">
        <v>2.5</v>
      </c>
      <c r="C119" s="293">
        <v>500</v>
      </c>
      <c r="D119" s="294" t="s">
        <v>2347</v>
      </c>
      <c r="E119" s="307">
        <v>528.21639000000005</v>
      </c>
      <c r="F119" s="717">
        <v>1064.2542300000002</v>
      </c>
      <c r="G119" s="304">
        <v>507.09847500000006</v>
      </c>
      <c r="H119" s="278"/>
      <c r="I119" s="278"/>
      <c r="J119" s="278"/>
      <c r="K119" s="13"/>
      <c r="L119" s="3"/>
      <c r="M119" s="3"/>
      <c r="N119" s="3"/>
    </row>
    <row r="120" spans="1:14">
      <c r="A120" s="291" t="s">
        <v>2464</v>
      </c>
      <c r="B120" s="292">
        <v>2.5</v>
      </c>
      <c r="C120" s="293">
        <v>400</v>
      </c>
      <c r="D120" s="294" t="s">
        <v>2347</v>
      </c>
      <c r="E120" s="307">
        <v>441.18594000000002</v>
      </c>
      <c r="F120" s="717">
        <v>888.90399000000014</v>
      </c>
      <c r="G120" s="304">
        <v>423.55872000000011</v>
      </c>
      <c r="H120" s="278"/>
      <c r="I120" s="278"/>
      <c r="J120" s="278"/>
      <c r="K120" s="13"/>
      <c r="L120" s="3"/>
      <c r="M120" s="3"/>
      <c r="N120" s="3"/>
    </row>
    <row r="121" spans="1:14" ht="14.95" thickBot="1">
      <c r="A121" s="295" t="s">
        <v>2465</v>
      </c>
      <c r="B121" s="296">
        <v>2.5</v>
      </c>
      <c r="C121" s="297">
        <v>300</v>
      </c>
      <c r="D121" s="298" t="s">
        <v>2347</v>
      </c>
      <c r="E121" s="308">
        <v>354.15549000000004</v>
      </c>
      <c r="F121" s="719">
        <v>713.55375000000004</v>
      </c>
      <c r="G121" s="309">
        <v>340.01896500000004</v>
      </c>
      <c r="H121" s="278"/>
      <c r="I121" s="278"/>
      <c r="J121" s="278"/>
      <c r="K121" s="13"/>
      <c r="L121" s="3"/>
      <c r="M121" s="3"/>
      <c r="N121" s="3"/>
    </row>
    <row r="122" spans="1:14" ht="16.3" thickBot="1">
      <c r="A122" s="934" t="s">
        <v>2466</v>
      </c>
      <c r="B122" s="935"/>
      <c r="C122" s="935"/>
      <c r="D122" s="935"/>
      <c r="E122" s="935"/>
      <c r="F122" s="935"/>
      <c r="G122" s="935"/>
      <c r="H122" s="278"/>
      <c r="I122" s="278"/>
      <c r="J122" s="278"/>
      <c r="K122" s="13"/>
      <c r="L122" s="3"/>
      <c r="M122" s="3"/>
      <c r="N122" s="3"/>
    </row>
    <row r="123" spans="1:14">
      <c r="A123" s="283" t="s">
        <v>2467</v>
      </c>
      <c r="B123" s="284">
        <v>2</v>
      </c>
      <c r="C123" s="285">
        <v>6000</v>
      </c>
      <c r="D123" s="286" t="s">
        <v>2347</v>
      </c>
      <c r="E123" s="303">
        <v>2188.71315</v>
      </c>
      <c r="F123" s="724">
        <v>4409.8914599999998</v>
      </c>
      <c r="G123" s="310">
        <v>2101.1772599999999</v>
      </c>
      <c r="H123" s="278"/>
      <c r="I123" s="278"/>
      <c r="J123" s="278"/>
      <c r="K123" s="13"/>
      <c r="L123" s="3"/>
      <c r="M123" s="3"/>
      <c r="N123" s="3"/>
    </row>
    <row r="124" spans="1:14" s="277" customFormat="1">
      <c r="A124" s="287" t="s">
        <v>2468</v>
      </c>
      <c r="B124" s="288">
        <v>2</v>
      </c>
      <c r="C124" s="289">
        <v>3000</v>
      </c>
      <c r="D124" s="290" t="s">
        <v>2347</v>
      </c>
      <c r="E124" s="305">
        <v>1094.3723700000003</v>
      </c>
      <c r="F124" s="718">
        <v>2204.9457299999999</v>
      </c>
      <c r="G124" s="306">
        <v>1050.604425</v>
      </c>
      <c r="H124" s="278"/>
      <c r="I124" s="278"/>
      <c r="J124" s="278"/>
      <c r="K124" s="13"/>
      <c r="L124" s="3"/>
      <c r="M124" s="3"/>
      <c r="N124" s="3"/>
    </row>
    <row r="125" spans="1:14">
      <c r="A125" s="291" t="s">
        <v>2469</v>
      </c>
      <c r="B125" s="292">
        <v>2</v>
      </c>
      <c r="C125" s="293">
        <v>2900</v>
      </c>
      <c r="D125" s="294" t="s">
        <v>2347</v>
      </c>
      <c r="E125" s="307">
        <v>1057.8859199999999</v>
      </c>
      <c r="F125" s="717">
        <v>2131.4322899999997</v>
      </c>
      <c r="G125" s="304">
        <v>1015.5711150000002</v>
      </c>
      <c r="H125" s="278"/>
      <c r="I125" s="278"/>
      <c r="J125" s="278"/>
      <c r="K125" s="13"/>
      <c r="L125" s="3"/>
      <c r="M125" s="3"/>
      <c r="N125" s="3"/>
    </row>
    <row r="126" spans="1:14">
      <c r="A126" s="291" t="s">
        <v>2470</v>
      </c>
      <c r="B126" s="292">
        <v>2</v>
      </c>
      <c r="C126" s="293">
        <v>2800</v>
      </c>
      <c r="D126" s="294" t="s">
        <v>2347</v>
      </c>
      <c r="E126" s="307">
        <v>1021.415265</v>
      </c>
      <c r="F126" s="717">
        <v>2057.9586300000001</v>
      </c>
      <c r="G126" s="304">
        <v>980.55360000000007</v>
      </c>
      <c r="H126" s="278"/>
      <c r="I126" s="278"/>
      <c r="J126" s="278"/>
      <c r="K126" s="13"/>
      <c r="L126" s="3"/>
      <c r="M126" s="3"/>
      <c r="N126" s="3"/>
    </row>
    <row r="127" spans="1:14">
      <c r="A127" s="291" t="s">
        <v>2471</v>
      </c>
      <c r="B127" s="292">
        <v>2</v>
      </c>
      <c r="C127" s="293">
        <v>2700</v>
      </c>
      <c r="D127" s="294" t="s">
        <v>2347</v>
      </c>
      <c r="E127" s="307">
        <v>984.91302000000007</v>
      </c>
      <c r="F127" s="717">
        <v>1984.4451900000004</v>
      </c>
      <c r="G127" s="304">
        <v>945.53608500000007</v>
      </c>
      <c r="H127" s="278"/>
      <c r="I127" s="278"/>
      <c r="J127" s="278"/>
      <c r="K127" s="13"/>
      <c r="L127" s="3"/>
      <c r="M127" s="3"/>
      <c r="N127" s="3"/>
    </row>
    <row r="128" spans="1:14">
      <c r="A128" s="291" t="s">
        <v>2472</v>
      </c>
      <c r="B128" s="292">
        <v>2</v>
      </c>
      <c r="C128" s="293">
        <v>2600</v>
      </c>
      <c r="D128" s="294" t="s">
        <v>2347</v>
      </c>
      <c r="E128" s="307">
        <v>948.44236500000022</v>
      </c>
      <c r="F128" s="717">
        <v>1910.9516400000002</v>
      </c>
      <c r="G128" s="304">
        <v>910.50277500000027</v>
      </c>
      <c r="H128" s="278"/>
      <c r="I128" s="278"/>
      <c r="J128" s="278"/>
      <c r="K128" s="13"/>
      <c r="L128" s="3"/>
      <c r="M128" s="3"/>
      <c r="N128" s="3"/>
    </row>
    <row r="129" spans="1:14">
      <c r="A129" s="291" t="s">
        <v>2473</v>
      </c>
      <c r="B129" s="292">
        <v>2</v>
      </c>
      <c r="C129" s="293">
        <v>2500</v>
      </c>
      <c r="D129" s="294" t="s">
        <v>2347</v>
      </c>
      <c r="E129" s="307">
        <v>912.00330000000008</v>
      </c>
      <c r="F129" s="717">
        <v>1837.4779800000001</v>
      </c>
      <c r="G129" s="304">
        <v>875.51684999999998</v>
      </c>
      <c r="H129" s="278"/>
      <c r="I129" s="278"/>
      <c r="J129" s="278"/>
      <c r="K129" s="13"/>
      <c r="L129" s="3"/>
      <c r="M129" s="3"/>
      <c r="N129" s="3"/>
    </row>
    <row r="130" spans="1:14">
      <c r="A130" s="291" t="s">
        <v>2474</v>
      </c>
      <c r="B130" s="292">
        <v>2</v>
      </c>
      <c r="C130" s="293">
        <v>2400</v>
      </c>
      <c r="D130" s="294" t="s">
        <v>2347</v>
      </c>
      <c r="E130" s="307">
        <v>875.48526000000004</v>
      </c>
      <c r="F130" s="717">
        <v>1763.9446499999997</v>
      </c>
      <c r="G130" s="304">
        <v>840.45195000000012</v>
      </c>
      <c r="H130" s="278"/>
      <c r="I130" s="278"/>
      <c r="J130" s="278"/>
      <c r="K130" s="13"/>
      <c r="L130" s="3"/>
      <c r="M130" s="3"/>
      <c r="N130" s="3"/>
    </row>
    <row r="131" spans="1:14">
      <c r="A131" s="291" t="s">
        <v>2475</v>
      </c>
      <c r="B131" s="292">
        <v>2</v>
      </c>
      <c r="C131" s="293">
        <v>2300</v>
      </c>
      <c r="D131" s="294" t="s">
        <v>2347</v>
      </c>
      <c r="E131" s="307">
        <v>839.0304000000001</v>
      </c>
      <c r="F131" s="717">
        <v>1690.4908799999998</v>
      </c>
      <c r="G131" s="304">
        <v>805.45023000000015</v>
      </c>
      <c r="H131" s="278"/>
      <c r="I131" s="278"/>
      <c r="J131" s="278"/>
      <c r="K131" s="13"/>
      <c r="L131" s="3"/>
      <c r="M131" s="3"/>
      <c r="N131" s="3"/>
    </row>
    <row r="132" spans="1:14">
      <c r="A132" s="291" t="s">
        <v>2476</v>
      </c>
      <c r="B132" s="292">
        <v>2</v>
      </c>
      <c r="C132" s="293">
        <v>2200</v>
      </c>
      <c r="D132" s="294" t="s">
        <v>2347</v>
      </c>
      <c r="E132" s="307">
        <v>802.51236000000017</v>
      </c>
      <c r="F132" s="717">
        <v>1616.9774400000003</v>
      </c>
      <c r="G132" s="304">
        <v>770.43271500000014</v>
      </c>
      <c r="H132" s="278"/>
      <c r="I132" s="278"/>
      <c r="J132" s="278"/>
      <c r="K132" s="13"/>
      <c r="L132" s="3"/>
      <c r="M132" s="3"/>
      <c r="N132" s="3"/>
    </row>
    <row r="133" spans="1:14">
      <c r="A133" s="291" t="s">
        <v>2477</v>
      </c>
      <c r="B133" s="292">
        <v>2</v>
      </c>
      <c r="C133" s="293">
        <v>2100</v>
      </c>
      <c r="D133" s="294" t="s">
        <v>2347</v>
      </c>
      <c r="E133" s="307">
        <v>766.07329500000014</v>
      </c>
      <c r="F133" s="717">
        <v>1543.48389</v>
      </c>
      <c r="G133" s="304">
        <v>735.41520000000014</v>
      </c>
      <c r="H133" s="278"/>
      <c r="I133" s="278"/>
      <c r="J133" s="278"/>
      <c r="K133" s="13"/>
      <c r="L133" s="3"/>
      <c r="M133" s="3"/>
      <c r="N133" s="3"/>
    </row>
    <row r="134" spans="1:14" s="277" customFormat="1">
      <c r="A134" s="287" t="s">
        <v>2478</v>
      </c>
      <c r="B134" s="288">
        <v>2</v>
      </c>
      <c r="C134" s="289">
        <v>2000</v>
      </c>
      <c r="D134" s="290" t="s">
        <v>2347</v>
      </c>
      <c r="E134" s="305">
        <v>729.57105000000001</v>
      </c>
      <c r="F134" s="718">
        <v>1469.97045</v>
      </c>
      <c r="G134" s="306">
        <v>700.39768500000014</v>
      </c>
      <c r="H134" s="278"/>
      <c r="I134" s="278"/>
      <c r="J134" s="278"/>
      <c r="K134" s="13"/>
      <c r="L134" s="3"/>
      <c r="M134" s="3"/>
      <c r="N134" s="3"/>
    </row>
    <row r="135" spans="1:14">
      <c r="A135" s="291" t="s">
        <v>2479</v>
      </c>
      <c r="B135" s="292">
        <v>2</v>
      </c>
      <c r="C135" s="293">
        <v>1900</v>
      </c>
      <c r="D135" s="294" t="s">
        <v>2347</v>
      </c>
      <c r="E135" s="307">
        <v>693.10039500000005</v>
      </c>
      <c r="F135" s="717">
        <v>1396.4768999999999</v>
      </c>
      <c r="G135" s="304">
        <v>665.39596500000005</v>
      </c>
      <c r="H135" s="278"/>
      <c r="I135" s="278"/>
      <c r="J135" s="278"/>
      <c r="K135" s="13"/>
      <c r="L135" s="3"/>
      <c r="M135" s="3"/>
      <c r="N135" s="3"/>
    </row>
    <row r="136" spans="1:14">
      <c r="A136" s="291" t="s">
        <v>2480</v>
      </c>
      <c r="B136" s="292">
        <v>2</v>
      </c>
      <c r="C136" s="293">
        <v>1800</v>
      </c>
      <c r="D136" s="294" t="s">
        <v>2347</v>
      </c>
      <c r="E136" s="307">
        <v>656.62974000000008</v>
      </c>
      <c r="F136" s="717">
        <v>1322.98335</v>
      </c>
      <c r="G136" s="304">
        <v>630.36265500000013</v>
      </c>
      <c r="H136" s="278"/>
      <c r="I136" s="278"/>
      <c r="J136" s="278"/>
      <c r="K136" s="13"/>
      <c r="L136" s="3"/>
      <c r="M136" s="3"/>
      <c r="N136" s="3"/>
    </row>
    <row r="137" spans="1:14">
      <c r="A137" s="291" t="s">
        <v>2481</v>
      </c>
      <c r="B137" s="292">
        <v>2</v>
      </c>
      <c r="C137" s="293">
        <v>1700</v>
      </c>
      <c r="D137" s="294" t="s">
        <v>2347</v>
      </c>
      <c r="E137" s="307">
        <v>620.14329000000009</v>
      </c>
      <c r="F137" s="717">
        <v>1249.46991</v>
      </c>
      <c r="G137" s="304">
        <v>595.34514000000013</v>
      </c>
      <c r="H137" s="278"/>
      <c r="I137" s="278"/>
      <c r="J137" s="278"/>
      <c r="K137" s="13"/>
      <c r="L137" s="3"/>
      <c r="M137" s="3"/>
      <c r="N137" s="3"/>
    </row>
    <row r="138" spans="1:14">
      <c r="A138" s="291" t="s">
        <v>2482</v>
      </c>
      <c r="B138" s="292">
        <v>2</v>
      </c>
      <c r="C138" s="293">
        <v>1600</v>
      </c>
      <c r="D138" s="294" t="s">
        <v>2347</v>
      </c>
      <c r="E138" s="307">
        <v>583.67263500000001</v>
      </c>
      <c r="F138" s="717">
        <v>1175.9763600000001</v>
      </c>
      <c r="G138" s="304">
        <v>560.3118300000001</v>
      </c>
      <c r="H138" s="278"/>
      <c r="I138" s="278"/>
      <c r="J138" s="278"/>
      <c r="K138" s="13"/>
      <c r="L138" s="3"/>
      <c r="M138" s="3"/>
      <c r="N138" s="3"/>
    </row>
    <row r="139" spans="1:14">
      <c r="A139" s="291" t="s">
        <v>2483</v>
      </c>
      <c r="B139" s="292">
        <v>2</v>
      </c>
      <c r="C139" s="293">
        <v>1500</v>
      </c>
      <c r="D139" s="294" t="s">
        <v>2347</v>
      </c>
      <c r="E139" s="307">
        <v>547.17039000000011</v>
      </c>
      <c r="F139" s="717">
        <v>1102.4629199999999</v>
      </c>
      <c r="G139" s="304">
        <v>525.29431499999998</v>
      </c>
      <c r="H139" s="278"/>
      <c r="I139" s="278"/>
      <c r="J139" s="278"/>
      <c r="K139" s="13"/>
      <c r="L139" s="3"/>
      <c r="M139" s="3"/>
      <c r="N139" s="3"/>
    </row>
    <row r="140" spans="1:14">
      <c r="A140" s="291" t="s">
        <v>2484</v>
      </c>
      <c r="B140" s="292">
        <v>2</v>
      </c>
      <c r="C140" s="293">
        <v>1400</v>
      </c>
      <c r="D140" s="294" t="s">
        <v>2347</v>
      </c>
      <c r="E140" s="307">
        <v>510.69973500000009</v>
      </c>
      <c r="F140" s="717">
        <v>1028.9892600000001</v>
      </c>
      <c r="G140" s="304">
        <v>490.27680000000004</v>
      </c>
      <c r="H140" s="278"/>
      <c r="I140" s="278"/>
      <c r="J140" s="278"/>
      <c r="K140" s="13"/>
      <c r="L140" s="3"/>
      <c r="M140" s="3"/>
      <c r="N140" s="3"/>
    </row>
    <row r="141" spans="1:14">
      <c r="A141" s="291" t="s">
        <v>2485</v>
      </c>
      <c r="B141" s="292">
        <v>2</v>
      </c>
      <c r="C141" s="293">
        <v>1300</v>
      </c>
      <c r="D141" s="294" t="s">
        <v>2347</v>
      </c>
      <c r="E141" s="307">
        <v>474.26067000000006</v>
      </c>
      <c r="F141" s="717">
        <v>955.49570999999992</v>
      </c>
      <c r="G141" s="304">
        <v>455.27508000000006</v>
      </c>
      <c r="H141" s="278"/>
      <c r="I141" s="278"/>
      <c r="J141" s="278"/>
      <c r="K141" s="13"/>
      <c r="L141" s="3"/>
      <c r="M141" s="3"/>
      <c r="N141" s="3"/>
    </row>
    <row r="142" spans="1:14">
      <c r="A142" s="291" t="s">
        <v>2486</v>
      </c>
      <c r="B142" s="292">
        <v>2</v>
      </c>
      <c r="C142" s="293">
        <v>1200</v>
      </c>
      <c r="D142" s="294" t="s">
        <v>2347</v>
      </c>
      <c r="E142" s="307">
        <v>437.75842499999999</v>
      </c>
      <c r="F142" s="717">
        <v>881.98227000000009</v>
      </c>
      <c r="G142" s="304">
        <v>420.24177000000009</v>
      </c>
      <c r="H142" s="278"/>
      <c r="I142" s="278"/>
      <c r="J142" s="278"/>
      <c r="K142" s="13"/>
      <c r="L142" s="3"/>
      <c r="M142" s="3"/>
      <c r="N142" s="3"/>
    </row>
    <row r="143" spans="1:14">
      <c r="A143" s="291" t="s">
        <v>2487</v>
      </c>
      <c r="B143" s="292">
        <v>2</v>
      </c>
      <c r="C143" s="293">
        <v>1100</v>
      </c>
      <c r="D143" s="294" t="s">
        <v>2347</v>
      </c>
      <c r="E143" s="307">
        <v>401.28777000000002</v>
      </c>
      <c r="F143" s="717">
        <v>808.48872000000017</v>
      </c>
      <c r="G143" s="304">
        <v>385.24005</v>
      </c>
      <c r="H143" s="278"/>
      <c r="I143" s="278"/>
      <c r="J143" s="278"/>
      <c r="K143" s="13"/>
      <c r="L143" s="3"/>
      <c r="M143" s="3"/>
      <c r="N143" s="3"/>
    </row>
    <row r="144" spans="1:14" s="277" customFormat="1">
      <c r="A144" s="287" t="s">
        <v>2488</v>
      </c>
      <c r="B144" s="288">
        <v>2</v>
      </c>
      <c r="C144" s="289">
        <v>1000</v>
      </c>
      <c r="D144" s="290" t="s">
        <v>2347</v>
      </c>
      <c r="E144" s="305">
        <v>364.78552500000001</v>
      </c>
      <c r="F144" s="718">
        <v>734.97528</v>
      </c>
      <c r="G144" s="306">
        <v>350.20674000000002</v>
      </c>
      <c r="H144" s="278"/>
      <c r="I144" s="278"/>
      <c r="J144" s="278"/>
      <c r="K144" s="13"/>
      <c r="L144" s="3"/>
      <c r="M144" s="3"/>
      <c r="N144" s="3"/>
    </row>
    <row r="145" spans="1:14">
      <c r="A145" s="291" t="s">
        <v>2489</v>
      </c>
      <c r="B145" s="292">
        <v>2</v>
      </c>
      <c r="C145" s="293">
        <v>900</v>
      </c>
      <c r="D145" s="294" t="s">
        <v>2347</v>
      </c>
      <c r="E145" s="307">
        <v>350.41207500000002</v>
      </c>
      <c r="F145" s="717">
        <v>706.01544000000001</v>
      </c>
      <c r="G145" s="304">
        <v>336.40191000000004</v>
      </c>
      <c r="H145" s="278"/>
      <c r="I145" s="278"/>
      <c r="J145" s="278"/>
      <c r="K145" s="13"/>
      <c r="L145" s="3"/>
      <c r="M145" s="3"/>
      <c r="N145" s="3"/>
    </row>
    <row r="146" spans="1:14">
      <c r="A146" s="291" t="s">
        <v>2490</v>
      </c>
      <c r="B146" s="292">
        <v>2</v>
      </c>
      <c r="C146" s="293">
        <v>800</v>
      </c>
      <c r="D146" s="294" t="s">
        <v>2347</v>
      </c>
      <c r="E146" s="307">
        <v>324.96633000000008</v>
      </c>
      <c r="F146" s="717">
        <v>654.77879999999993</v>
      </c>
      <c r="G146" s="304">
        <v>311.98284000000007</v>
      </c>
      <c r="H146" s="278"/>
      <c r="I146" s="278"/>
      <c r="J146" s="278"/>
      <c r="K146" s="13"/>
      <c r="L146" s="3"/>
      <c r="M146" s="3"/>
      <c r="N146" s="3"/>
    </row>
    <row r="147" spans="1:14">
      <c r="A147" s="291" t="s">
        <v>2491</v>
      </c>
      <c r="B147" s="292">
        <v>2</v>
      </c>
      <c r="C147" s="293">
        <v>700</v>
      </c>
      <c r="D147" s="294" t="s">
        <v>2347</v>
      </c>
      <c r="E147" s="307">
        <v>299.56797</v>
      </c>
      <c r="F147" s="717">
        <v>603.56205000000011</v>
      </c>
      <c r="G147" s="304">
        <v>287.57956500000006</v>
      </c>
      <c r="H147" s="278"/>
      <c r="I147" s="278"/>
      <c r="J147" s="278"/>
      <c r="K147" s="13"/>
      <c r="L147" s="3"/>
      <c r="M147" s="3"/>
      <c r="N147" s="3"/>
    </row>
    <row r="148" spans="1:14">
      <c r="A148" s="291" t="s">
        <v>2492</v>
      </c>
      <c r="B148" s="292">
        <v>2</v>
      </c>
      <c r="C148" s="293">
        <v>600</v>
      </c>
      <c r="D148" s="294" t="s">
        <v>2347</v>
      </c>
      <c r="E148" s="307">
        <v>263.08152000000007</v>
      </c>
      <c r="F148" s="717">
        <v>530.06849999999997</v>
      </c>
      <c r="G148" s="304">
        <v>252.56205000000003</v>
      </c>
      <c r="H148" s="278"/>
      <c r="I148" s="278"/>
      <c r="J148" s="278"/>
      <c r="K148" s="13"/>
      <c r="L148" s="3"/>
      <c r="M148" s="3"/>
      <c r="N148" s="3"/>
    </row>
    <row r="149" spans="1:14">
      <c r="A149" s="291" t="s">
        <v>2493</v>
      </c>
      <c r="B149" s="292">
        <v>2</v>
      </c>
      <c r="C149" s="293">
        <v>500</v>
      </c>
      <c r="D149" s="294" t="s">
        <v>2347</v>
      </c>
      <c r="E149" s="307">
        <v>226.59507000000005</v>
      </c>
      <c r="F149" s="717">
        <v>456.55505999999997</v>
      </c>
      <c r="G149" s="304">
        <v>217.51294500000006</v>
      </c>
      <c r="H149" s="278"/>
      <c r="I149" s="278"/>
      <c r="J149" s="278"/>
      <c r="K149" s="13"/>
      <c r="L149" s="3"/>
      <c r="M149" s="3"/>
      <c r="N149" s="3"/>
    </row>
    <row r="150" spans="1:14">
      <c r="A150" s="291" t="s">
        <v>2494</v>
      </c>
      <c r="B150" s="292">
        <v>2</v>
      </c>
      <c r="C150" s="293">
        <v>400</v>
      </c>
      <c r="D150" s="294" t="s">
        <v>2347</v>
      </c>
      <c r="E150" s="307">
        <v>190.12441500000006</v>
      </c>
      <c r="F150" s="717">
        <v>383.06151000000006</v>
      </c>
      <c r="G150" s="304">
        <v>182.49543000000006</v>
      </c>
      <c r="H150" s="278"/>
      <c r="I150" s="278"/>
      <c r="J150" s="278"/>
      <c r="K150" s="13"/>
      <c r="L150" s="3"/>
      <c r="M150" s="3"/>
      <c r="N150" s="3"/>
    </row>
    <row r="151" spans="1:14" ht="14.95" thickBot="1">
      <c r="A151" s="291" t="s">
        <v>2495</v>
      </c>
      <c r="B151" s="292">
        <v>2</v>
      </c>
      <c r="C151" s="293">
        <v>300</v>
      </c>
      <c r="D151" s="294" t="s">
        <v>2347</v>
      </c>
      <c r="E151" s="308">
        <v>153.63796500000001</v>
      </c>
      <c r="F151" s="719">
        <v>309.54807</v>
      </c>
      <c r="G151" s="309">
        <v>147.47791500000002</v>
      </c>
      <c r="H151" s="278"/>
      <c r="I151" s="278"/>
      <c r="J151" s="278"/>
      <c r="K151" s="13"/>
      <c r="L151" s="3"/>
      <c r="M151" s="3"/>
      <c r="N151" s="3"/>
    </row>
    <row r="152" spans="1:14" ht="16.3" thickBot="1">
      <c r="A152" s="934" t="s">
        <v>2496</v>
      </c>
      <c r="B152" s="935"/>
      <c r="C152" s="935"/>
      <c r="D152" s="935"/>
      <c r="E152" s="935"/>
      <c r="F152" s="935"/>
      <c r="G152" s="935"/>
      <c r="H152" s="278"/>
      <c r="I152" s="278"/>
      <c r="J152" s="278"/>
      <c r="K152" s="13"/>
      <c r="L152" s="3"/>
      <c r="M152" s="3"/>
      <c r="N152" s="3"/>
    </row>
    <row r="153" spans="1:14">
      <c r="A153" s="299" t="s">
        <v>2497</v>
      </c>
      <c r="B153" s="300">
        <v>2.5</v>
      </c>
      <c r="C153" s="301">
        <v>6000</v>
      </c>
      <c r="D153" s="302" t="s">
        <v>2347</v>
      </c>
      <c r="E153" s="303">
        <v>2947.6786950000005</v>
      </c>
      <c r="F153" s="724">
        <v>5939.0147699999998</v>
      </c>
      <c r="G153" s="310">
        <v>2829.7690200000002</v>
      </c>
      <c r="H153" s="278"/>
      <c r="I153" s="278"/>
      <c r="J153" s="278"/>
      <c r="K153" s="13"/>
      <c r="L153" s="3"/>
      <c r="M153" s="3"/>
      <c r="N153" s="3"/>
    </row>
    <row r="154" spans="1:14" s="277" customFormat="1">
      <c r="A154" s="287" t="s">
        <v>2498</v>
      </c>
      <c r="B154" s="288">
        <v>2.5</v>
      </c>
      <c r="C154" s="289">
        <v>3000</v>
      </c>
      <c r="D154" s="290" t="s">
        <v>2347</v>
      </c>
      <c r="E154" s="305">
        <v>1473.8314500000001</v>
      </c>
      <c r="F154" s="718">
        <v>2969.4775500000001</v>
      </c>
      <c r="G154" s="306">
        <v>1414.8687150000001</v>
      </c>
      <c r="H154" s="278"/>
      <c r="I154" s="278"/>
      <c r="J154" s="278"/>
      <c r="K154" s="13"/>
      <c r="L154" s="3"/>
      <c r="M154" s="3"/>
      <c r="N154" s="3"/>
    </row>
    <row r="155" spans="1:14">
      <c r="A155" s="291" t="s">
        <v>2499</v>
      </c>
      <c r="B155" s="292">
        <v>2.5</v>
      </c>
      <c r="C155" s="293">
        <v>2900</v>
      </c>
      <c r="D155" s="294" t="s">
        <v>2347</v>
      </c>
      <c r="E155" s="307">
        <v>1424.7090000000003</v>
      </c>
      <c r="F155" s="717">
        <v>2870.5446900000002</v>
      </c>
      <c r="G155" s="304">
        <v>1367.72064</v>
      </c>
      <c r="H155" s="278"/>
      <c r="I155" s="278"/>
      <c r="J155" s="278"/>
      <c r="K155" s="13"/>
      <c r="L155" s="3"/>
      <c r="M155" s="3"/>
      <c r="N155" s="3"/>
    </row>
    <row r="156" spans="1:14">
      <c r="A156" s="291" t="s">
        <v>2500</v>
      </c>
      <c r="B156" s="292">
        <v>2.5</v>
      </c>
      <c r="C156" s="293">
        <v>2800</v>
      </c>
      <c r="D156" s="294" t="s">
        <v>2347</v>
      </c>
      <c r="E156" s="307">
        <v>1375.5865500000002</v>
      </c>
      <c r="F156" s="717">
        <v>2771.5720500000002</v>
      </c>
      <c r="G156" s="304">
        <v>1320.5725650000002</v>
      </c>
      <c r="H156" s="278"/>
      <c r="I156" s="278"/>
      <c r="J156" s="278"/>
      <c r="K156" s="13"/>
      <c r="L156" s="3"/>
      <c r="M156" s="3"/>
      <c r="N156" s="3"/>
    </row>
    <row r="157" spans="1:14">
      <c r="A157" s="291" t="s">
        <v>2501</v>
      </c>
      <c r="B157" s="292">
        <v>2.5</v>
      </c>
      <c r="C157" s="293">
        <v>2700</v>
      </c>
      <c r="D157" s="294" t="s">
        <v>2347</v>
      </c>
      <c r="E157" s="307">
        <v>1326.4483050000003</v>
      </c>
      <c r="F157" s="717">
        <v>2672.5397400000006</v>
      </c>
      <c r="G157" s="304">
        <v>1273.3929000000003</v>
      </c>
      <c r="H157" s="278"/>
      <c r="I157" s="278"/>
      <c r="J157" s="278"/>
      <c r="K157" s="13"/>
      <c r="L157" s="3"/>
      <c r="M157" s="3"/>
      <c r="N157" s="3"/>
    </row>
    <row r="158" spans="1:14">
      <c r="A158" s="291" t="s">
        <v>2502</v>
      </c>
      <c r="B158" s="292">
        <v>2.5</v>
      </c>
      <c r="C158" s="293">
        <v>2600</v>
      </c>
      <c r="D158" s="294" t="s">
        <v>2347</v>
      </c>
      <c r="E158" s="307">
        <v>1277.3258550000003</v>
      </c>
      <c r="F158" s="717">
        <v>2573.5869900000002</v>
      </c>
      <c r="G158" s="304">
        <v>1226.2448250000002</v>
      </c>
      <c r="H158" s="278"/>
      <c r="I158" s="278"/>
      <c r="J158" s="278"/>
      <c r="K158" s="13"/>
      <c r="L158" s="3"/>
      <c r="M158" s="3"/>
      <c r="N158" s="3"/>
    </row>
    <row r="159" spans="1:14">
      <c r="A159" s="291" t="s">
        <v>2503</v>
      </c>
      <c r="B159" s="292">
        <v>2.5</v>
      </c>
      <c r="C159" s="293">
        <v>2500</v>
      </c>
      <c r="D159" s="294" t="s">
        <v>2347</v>
      </c>
      <c r="E159" s="307">
        <v>1228.1876100000002</v>
      </c>
      <c r="F159" s="717">
        <v>2474.5944600000003</v>
      </c>
      <c r="G159" s="304">
        <v>1179.0651600000001</v>
      </c>
      <c r="H159" s="278"/>
      <c r="I159" s="278"/>
      <c r="J159" s="278"/>
      <c r="K159" s="13"/>
      <c r="L159" s="3"/>
      <c r="M159" s="3"/>
      <c r="N159" s="3"/>
    </row>
    <row r="160" spans="1:14">
      <c r="A160" s="291" t="s">
        <v>2504</v>
      </c>
      <c r="B160" s="292">
        <v>2.5</v>
      </c>
      <c r="C160" s="293">
        <v>2400</v>
      </c>
      <c r="D160" s="294" t="s">
        <v>2347</v>
      </c>
      <c r="E160" s="307">
        <v>1179.0651600000001</v>
      </c>
      <c r="F160" s="717">
        <v>2375.6019299999998</v>
      </c>
      <c r="G160" s="304">
        <v>1131.9170850000003</v>
      </c>
      <c r="H160" s="278"/>
      <c r="I160" s="278"/>
      <c r="J160" s="278"/>
      <c r="K160" s="13"/>
      <c r="L160" s="3"/>
      <c r="M160" s="3"/>
      <c r="N160" s="3"/>
    </row>
    <row r="161" spans="1:14">
      <c r="A161" s="291" t="s">
        <v>2505</v>
      </c>
      <c r="B161" s="292">
        <v>2.5</v>
      </c>
      <c r="C161" s="293">
        <v>2300</v>
      </c>
      <c r="D161" s="294" t="s">
        <v>2347</v>
      </c>
      <c r="E161" s="307">
        <v>1129.926915</v>
      </c>
      <c r="F161" s="717">
        <v>2276.5895099999998</v>
      </c>
      <c r="G161" s="304">
        <v>1084.7216249999999</v>
      </c>
      <c r="H161" s="278"/>
      <c r="I161" s="278"/>
      <c r="J161" s="278"/>
      <c r="K161" s="13"/>
      <c r="L161" s="3"/>
      <c r="M161" s="3"/>
      <c r="N161" s="3"/>
    </row>
    <row r="162" spans="1:14">
      <c r="A162" s="291" t="s">
        <v>2506</v>
      </c>
      <c r="B162" s="292">
        <v>2.5</v>
      </c>
      <c r="C162" s="293">
        <v>2200</v>
      </c>
      <c r="D162" s="294" t="s">
        <v>2347</v>
      </c>
      <c r="E162" s="307">
        <v>1080.82026</v>
      </c>
      <c r="F162" s="717">
        <v>2177.6566499999994</v>
      </c>
      <c r="G162" s="304">
        <v>1037.5735500000003</v>
      </c>
      <c r="H162" s="278"/>
      <c r="I162" s="278"/>
      <c r="J162" s="278"/>
      <c r="K162" s="13"/>
      <c r="L162" s="3"/>
      <c r="M162" s="3"/>
      <c r="N162" s="3"/>
    </row>
    <row r="163" spans="1:14">
      <c r="A163" s="291" t="s">
        <v>2507</v>
      </c>
      <c r="B163" s="292">
        <v>2.5</v>
      </c>
      <c r="C163" s="293">
        <v>2100</v>
      </c>
      <c r="D163" s="294" t="s">
        <v>2347</v>
      </c>
      <c r="E163" s="307">
        <v>1031.6820150000001</v>
      </c>
      <c r="F163" s="717">
        <v>2078.6641199999999</v>
      </c>
      <c r="G163" s="304">
        <v>990.42547500000012</v>
      </c>
      <c r="H163" s="278"/>
      <c r="I163" s="278"/>
      <c r="J163" s="278"/>
      <c r="K163" s="13"/>
      <c r="L163" s="3"/>
      <c r="M163" s="3"/>
      <c r="N163" s="3"/>
    </row>
    <row r="164" spans="1:14" s="277" customFormat="1">
      <c r="A164" s="287" t="s">
        <v>2508</v>
      </c>
      <c r="B164" s="288">
        <v>2.5</v>
      </c>
      <c r="C164" s="289">
        <v>2000</v>
      </c>
      <c r="D164" s="290" t="s">
        <v>2347</v>
      </c>
      <c r="E164" s="305">
        <v>982.54377000000011</v>
      </c>
      <c r="F164" s="718">
        <v>1979.6516999999999</v>
      </c>
      <c r="G164" s="306">
        <v>943.24581000000012</v>
      </c>
      <c r="H164" s="278"/>
      <c r="I164" s="278"/>
      <c r="J164" s="278"/>
      <c r="K164" s="13"/>
      <c r="L164" s="3"/>
      <c r="M164" s="3"/>
      <c r="N164" s="3"/>
    </row>
    <row r="165" spans="1:14">
      <c r="A165" s="291" t="s">
        <v>2509</v>
      </c>
      <c r="B165" s="292">
        <v>2.5</v>
      </c>
      <c r="C165" s="293">
        <v>1900</v>
      </c>
      <c r="D165" s="294" t="s">
        <v>2347</v>
      </c>
      <c r="E165" s="307">
        <v>933.45291000000009</v>
      </c>
      <c r="F165" s="717">
        <v>1880.69895</v>
      </c>
      <c r="G165" s="304">
        <v>896.09773500000028</v>
      </c>
      <c r="H165" s="278"/>
      <c r="I165" s="278"/>
      <c r="J165" s="278"/>
      <c r="K165" s="13"/>
      <c r="L165" s="3"/>
      <c r="M165" s="3"/>
      <c r="N165" s="3"/>
    </row>
    <row r="166" spans="1:14">
      <c r="A166" s="291" t="s">
        <v>2510</v>
      </c>
      <c r="B166" s="292">
        <v>2.5</v>
      </c>
      <c r="C166" s="293">
        <v>1800</v>
      </c>
      <c r="D166" s="294" t="s">
        <v>2347</v>
      </c>
      <c r="E166" s="307">
        <v>884.29887000000019</v>
      </c>
      <c r="F166" s="717">
        <v>1781.6865299999999</v>
      </c>
      <c r="G166" s="304">
        <v>848.91807000000028</v>
      </c>
      <c r="H166" s="278"/>
      <c r="I166" s="278"/>
      <c r="J166" s="278"/>
      <c r="K166" s="13"/>
      <c r="L166" s="3"/>
      <c r="M166" s="3"/>
      <c r="N166" s="3"/>
    </row>
    <row r="167" spans="1:14">
      <c r="A167" s="291" t="s">
        <v>2511</v>
      </c>
      <c r="B167" s="292">
        <v>2.5</v>
      </c>
      <c r="C167" s="293">
        <v>1700</v>
      </c>
      <c r="D167" s="294" t="s">
        <v>2347</v>
      </c>
      <c r="E167" s="307">
        <v>835.1606250000001</v>
      </c>
      <c r="F167" s="717">
        <v>1682.73378</v>
      </c>
      <c r="G167" s="304">
        <v>801.76999500000011</v>
      </c>
      <c r="H167" s="278"/>
      <c r="I167" s="278"/>
      <c r="J167" s="278"/>
      <c r="K167" s="13"/>
      <c r="L167" s="3"/>
      <c r="M167" s="3"/>
      <c r="N167" s="3"/>
    </row>
    <row r="168" spans="1:14">
      <c r="A168" s="291" t="s">
        <v>2512</v>
      </c>
      <c r="B168" s="292">
        <v>2.5</v>
      </c>
      <c r="C168" s="293">
        <v>1600</v>
      </c>
      <c r="D168" s="294" t="s">
        <v>2347</v>
      </c>
      <c r="E168" s="307">
        <v>786.06976500000007</v>
      </c>
      <c r="F168" s="717">
        <v>1583.7611399999998</v>
      </c>
      <c r="G168" s="304">
        <v>754.62192000000005</v>
      </c>
      <c r="H168" s="278"/>
      <c r="I168" s="278"/>
      <c r="J168" s="278"/>
      <c r="K168" s="13"/>
      <c r="L168" s="3"/>
      <c r="M168" s="3"/>
      <c r="N168" s="3"/>
    </row>
    <row r="169" spans="1:14">
      <c r="A169" s="291" t="s">
        <v>2513</v>
      </c>
      <c r="B169" s="292">
        <v>2.5</v>
      </c>
      <c r="C169" s="293">
        <v>1500</v>
      </c>
      <c r="D169" s="294" t="s">
        <v>2347</v>
      </c>
      <c r="E169" s="307">
        <v>736.91572500000007</v>
      </c>
      <c r="F169" s="717">
        <v>1484.74872</v>
      </c>
      <c r="G169" s="304">
        <v>707.44225500000005</v>
      </c>
      <c r="H169" s="278"/>
      <c r="I169" s="278"/>
      <c r="J169" s="278"/>
      <c r="K169" s="13"/>
      <c r="L169" s="3"/>
      <c r="M169" s="3"/>
      <c r="N169" s="3"/>
    </row>
    <row r="170" spans="1:14">
      <c r="A170" s="291" t="s">
        <v>2514</v>
      </c>
      <c r="B170" s="292">
        <v>2.5</v>
      </c>
      <c r="C170" s="293">
        <v>1400</v>
      </c>
      <c r="D170" s="294" t="s">
        <v>2347</v>
      </c>
      <c r="E170" s="307">
        <v>687.79327500000011</v>
      </c>
      <c r="F170" s="717">
        <v>1385.7760800000003</v>
      </c>
      <c r="G170" s="304">
        <v>660.2941800000001</v>
      </c>
      <c r="H170" s="278"/>
      <c r="I170" s="278"/>
      <c r="J170" s="278"/>
      <c r="K170" s="13"/>
      <c r="L170" s="3"/>
      <c r="M170" s="3"/>
      <c r="N170" s="3"/>
    </row>
    <row r="171" spans="1:14">
      <c r="A171" s="291" t="s">
        <v>2515</v>
      </c>
      <c r="B171" s="292">
        <v>2.5</v>
      </c>
      <c r="C171" s="293">
        <v>1300</v>
      </c>
      <c r="D171" s="294" t="s">
        <v>2347</v>
      </c>
      <c r="E171" s="307">
        <v>638.65503000000001</v>
      </c>
      <c r="F171" s="717">
        <v>1286.7636600000001</v>
      </c>
      <c r="G171" s="304">
        <v>613.09872000000007</v>
      </c>
      <c r="H171" s="278"/>
      <c r="I171" s="278"/>
      <c r="J171" s="278"/>
      <c r="K171" s="13"/>
      <c r="L171" s="3"/>
      <c r="M171" s="3"/>
      <c r="N171" s="3"/>
    </row>
    <row r="172" spans="1:14">
      <c r="A172" s="291" t="s">
        <v>2516</v>
      </c>
      <c r="B172" s="292">
        <v>2.5</v>
      </c>
      <c r="C172" s="293">
        <v>1200</v>
      </c>
      <c r="D172" s="294" t="s">
        <v>2347</v>
      </c>
      <c r="E172" s="307">
        <v>589.54837500000008</v>
      </c>
      <c r="F172" s="717">
        <v>1187.7910199999999</v>
      </c>
      <c r="G172" s="304">
        <v>565.95064500000012</v>
      </c>
      <c r="H172" s="278"/>
      <c r="I172" s="278"/>
      <c r="J172" s="278"/>
      <c r="K172" s="13"/>
      <c r="L172" s="3"/>
      <c r="M172" s="3"/>
      <c r="N172" s="3"/>
    </row>
    <row r="173" spans="1:14">
      <c r="A173" s="291" t="s">
        <v>2517</v>
      </c>
      <c r="B173" s="292">
        <v>2.5</v>
      </c>
      <c r="C173" s="293">
        <v>1100</v>
      </c>
      <c r="D173" s="294" t="s">
        <v>2347</v>
      </c>
      <c r="E173" s="307">
        <v>540.41012999999998</v>
      </c>
      <c r="F173" s="717">
        <v>1088.8581600000002</v>
      </c>
      <c r="G173" s="304">
        <v>518.80257000000006</v>
      </c>
      <c r="H173" s="278"/>
      <c r="I173" s="278"/>
      <c r="J173" s="278"/>
      <c r="K173" s="13"/>
      <c r="L173" s="3"/>
      <c r="M173" s="3"/>
      <c r="N173" s="3"/>
    </row>
    <row r="174" spans="1:14" s="277" customFormat="1">
      <c r="A174" s="287" t="s">
        <v>2518</v>
      </c>
      <c r="B174" s="288">
        <v>2.5</v>
      </c>
      <c r="C174" s="289">
        <v>1000</v>
      </c>
      <c r="D174" s="290" t="s">
        <v>2347</v>
      </c>
      <c r="E174" s="305">
        <v>491.28768000000008</v>
      </c>
      <c r="F174" s="718">
        <v>989.82584999999995</v>
      </c>
      <c r="G174" s="306">
        <v>471.62290500000006</v>
      </c>
      <c r="H174" s="278"/>
      <c r="I174" s="278"/>
      <c r="J174" s="278"/>
      <c r="K174" s="13"/>
      <c r="L174" s="3"/>
      <c r="M174" s="3"/>
      <c r="N174" s="3"/>
    </row>
    <row r="175" spans="1:14">
      <c r="A175" s="291" t="s">
        <v>2519</v>
      </c>
      <c r="B175" s="292">
        <v>2.5</v>
      </c>
      <c r="C175" s="293">
        <v>900</v>
      </c>
      <c r="D175" s="294" t="s">
        <v>2347</v>
      </c>
      <c r="E175" s="307">
        <v>463.61483999999996</v>
      </c>
      <c r="F175" s="717">
        <v>934.0940700000001</v>
      </c>
      <c r="G175" s="304">
        <v>445.08730500000013</v>
      </c>
      <c r="H175" s="278"/>
      <c r="I175" s="278"/>
      <c r="J175" s="278"/>
      <c r="K175" s="13"/>
      <c r="L175" s="3"/>
      <c r="M175" s="3"/>
      <c r="N175" s="3"/>
    </row>
    <row r="176" spans="1:14">
      <c r="A176" s="291" t="s">
        <v>2520</v>
      </c>
      <c r="B176" s="292">
        <v>2.5</v>
      </c>
      <c r="C176" s="293">
        <v>800</v>
      </c>
      <c r="D176" s="294" t="s">
        <v>2347</v>
      </c>
      <c r="E176" s="307">
        <v>425.21719500000006</v>
      </c>
      <c r="F176" s="717">
        <v>856.72197000000017</v>
      </c>
      <c r="G176" s="304">
        <v>408.20598000000007</v>
      </c>
      <c r="H176" s="278"/>
      <c r="I176" s="278"/>
      <c r="J176" s="278"/>
      <c r="K176" s="13"/>
      <c r="L176" s="3"/>
      <c r="M176" s="3"/>
      <c r="N176" s="3"/>
    </row>
    <row r="177" spans="1:14">
      <c r="A177" s="291" t="s">
        <v>2521</v>
      </c>
      <c r="B177" s="292">
        <v>2.5</v>
      </c>
      <c r="C177" s="293">
        <v>700</v>
      </c>
      <c r="D177" s="294" t="s">
        <v>2347</v>
      </c>
      <c r="E177" s="307">
        <v>386.81955000000005</v>
      </c>
      <c r="F177" s="717">
        <v>779.36976000000004</v>
      </c>
      <c r="G177" s="304">
        <v>371.34045000000003</v>
      </c>
      <c r="H177" s="278"/>
      <c r="I177" s="278"/>
      <c r="J177" s="278"/>
      <c r="K177" s="13"/>
      <c r="L177" s="3"/>
      <c r="M177" s="3"/>
      <c r="N177" s="3"/>
    </row>
    <row r="178" spans="1:14">
      <c r="A178" s="291" t="s">
        <v>2522</v>
      </c>
      <c r="B178" s="292">
        <v>2.5</v>
      </c>
      <c r="C178" s="293">
        <v>600</v>
      </c>
      <c r="D178" s="294" t="s">
        <v>2347</v>
      </c>
      <c r="E178" s="307">
        <v>337.69710000000003</v>
      </c>
      <c r="F178" s="717">
        <v>680.39711999999997</v>
      </c>
      <c r="G178" s="304">
        <v>324.19237500000003</v>
      </c>
      <c r="H178" s="278"/>
      <c r="I178" s="278"/>
      <c r="J178" s="278"/>
      <c r="K178" s="13"/>
      <c r="L178" s="3"/>
      <c r="M178" s="3"/>
      <c r="N178" s="3"/>
    </row>
    <row r="179" spans="1:14">
      <c r="A179" s="291" t="s">
        <v>2523</v>
      </c>
      <c r="B179" s="292">
        <v>2.5</v>
      </c>
      <c r="C179" s="293">
        <v>500</v>
      </c>
      <c r="D179" s="294" t="s">
        <v>2347</v>
      </c>
      <c r="E179" s="307">
        <v>288.55885500000005</v>
      </c>
      <c r="F179" s="717">
        <v>581.4045900000001</v>
      </c>
      <c r="G179" s="304">
        <v>277.01271000000003</v>
      </c>
      <c r="H179" s="278"/>
      <c r="I179" s="278"/>
      <c r="J179" s="278"/>
      <c r="K179" s="13"/>
      <c r="L179" s="3"/>
      <c r="M179" s="3"/>
      <c r="N179" s="3"/>
    </row>
    <row r="180" spans="1:14">
      <c r="A180" s="291" t="s">
        <v>2524</v>
      </c>
      <c r="B180" s="292">
        <v>2.5</v>
      </c>
      <c r="C180" s="293">
        <v>400</v>
      </c>
      <c r="D180" s="294" t="s">
        <v>2347</v>
      </c>
      <c r="E180" s="307">
        <v>239.45220000000003</v>
      </c>
      <c r="F180" s="717">
        <v>482.43194999999997</v>
      </c>
      <c r="G180" s="304">
        <v>229.86463500000002</v>
      </c>
      <c r="H180" s="278"/>
      <c r="I180" s="278"/>
      <c r="J180" s="278"/>
      <c r="K180" s="13"/>
      <c r="L180" s="3"/>
      <c r="M180" s="3"/>
      <c r="N180" s="3"/>
    </row>
    <row r="181" spans="1:14" ht="14.95" thickBot="1">
      <c r="A181" s="295" t="s">
        <v>2525</v>
      </c>
      <c r="B181" s="296">
        <v>2.5</v>
      </c>
      <c r="C181" s="297">
        <v>300</v>
      </c>
      <c r="D181" s="298" t="s">
        <v>2347</v>
      </c>
      <c r="E181" s="308">
        <v>190.29816000000005</v>
      </c>
      <c r="F181" s="719">
        <v>383.41953000000001</v>
      </c>
      <c r="G181" s="309">
        <v>182.70076500000002</v>
      </c>
      <c r="H181" s="278"/>
      <c r="I181" s="278"/>
      <c r="J181" s="278"/>
      <c r="K181" s="13"/>
      <c r="L181" s="3"/>
      <c r="M181" s="3"/>
      <c r="N181" s="3"/>
    </row>
    <row r="182" spans="1:14" ht="16.3" thickBot="1">
      <c r="A182" s="934" t="s">
        <v>2526</v>
      </c>
      <c r="B182" s="935"/>
      <c r="C182" s="935"/>
      <c r="D182" s="935"/>
      <c r="E182" s="935"/>
      <c r="F182" s="935"/>
      <c r="G182" s="935"/>
      <c r="H182" s="278"/>
      <c r="I182" s="278"/>
      <c r="J182" s="278"/>
      <c r="K182" s="13"/>
      <c r="L182" s="3"/>
      <c r="M182" s="3"/>
      <c r="N182" s="3"/>
    </row>
    <row r="183" spans="1:14">
      <c r="A183" s="299" t="s">
        <v>2527</v>
      </c>
      <c r="B183" s="300">
        <v>2</v>
      </c>
      <c r="C183" s="301">
        <v>6000</v>
      </c>
      <c r="D183" s="302" t="s">
        <v>2347</v>
      </c>
      <c r="E183" s="303">
        <v>5471.8460550000009</v>
      </c>
      <c r="F183" s="724">
        <v>11024.728650000001</v>
      </c>
      <c r="G183" s="310">
        <v>5252.9431500000001</v>
      </c>
      <c r="H183" s="278"/>
      <c r="I183" s="278"/>
      <c r="J183" s="278"/>
      <c r="K183" s="13"/>
      <c r="L183" s="3"/>
      <c r="M183" s="3"/>
      <c r="N183" s="3"/>
    </row>
    <row r="184" spans="1:14" s="277" customFormat="1">
      <c r="A184" s="287" t="s">
        <v>2528</v>
      </c>
      <c r="B184" s="288">
        <v>2</v>
      </c>
      <c r="C184" s="289">
        <v>3000</v>
      </c>
      <c r="D184" s="290" t="s">
        <v>2347</v>
      </c>
      <c r="E184" s="305">
        <v>2735.9467200000004</v>
      </c>
      <c r="F184" s="718">
        <v>5512.4339399999999</v>
      </c>
      <c r="G184" s="306">
        <v>2626.5189600000003</v>
      </c>
      <c r="H184" s="278"/>
      <c r="I184" s="278"/>
      <c r="J184" s="278"/>
      <c r="K184" s="13"/>
      <c r="L184" s="3"/>
      <c r="M184" s="3"/>
      <c r="N184" s="3"/>
    </row>
    <row r="185" spans="1:14">
      <c r="A185" s="291" t="s">
        <v>2529</v>
      </c>
      <c r="B185" s="292">
        <v>2</v>
      </c>
      <c r="C185" s="293">
        <v>2900</v>
      </c>
      <c r="D185" s="294" t="s">
        <v>2347</v>
      </c>
      <c r="E185" s="307">
        <v>2644.7148000000007</v>
      </c>
      <c r="F185" s="717">
        <v>5328.57078</v>
      </c>
      <c r="G185" s="304">
        <v>2538.9198900000006</v>
      </c>
      <c r="H185" s="278"/>
      <c r="I185" s="278"/>
      <c r="J185" s="278"/>
      <c r="K185" s="13"/>
      <c r="L185" s="3"/>
      <c r="M185" s="3"/>
      <c r="N185" s="3"/>
    </row>
    <row r="186" spans="1:14">
      <c r="A186" s="291" t="s">
        <v>2530</v>
      </c>
      <c r="B186" s="292">
        <v>2</v>
      </c>
      <c r="C186" s="293">
        <v>2800</v>
      </c>
      <c r="D186" s="294" t="s">
        <v>2347</v>
      </c>
      <c r="E186" s="307">
        <v>2553.5302650000008</v>
      </c>
      <c r="F186" s="717">
        <v>5144.88663</v>
      </c>
      <c r="G186" s="304">
        <v>2451.3840000000005</v>
      </c>
      <c r="H186" s="278"/>
      <c r="I186" s="278"/>
      <c r="J186" s="278"/>
      <c r="K186" s="13"/>
      <c r="L186" s="3"/>
      <c r="M186" s="3"/>
      <c r="N186" s="3"/>
    </row>
    <row r="187" spans="1:14">
      <c r="A187" s="291" t="s">
        <v>2531</v>
      </c>
      <c r="B187" s="292">
        <v>2</v>
      </c>
      <c r="C187" s="293">
        <v>2700</v>
      </c>
      <c r="D187" s="294" t="s">
        <v>2347</v>
      </c>
      <c r="E187" s="307">
        <v>2462.3141400000004</v>
      </c>
      <c r="F187" s="717">
        <v>4961.1030300000002</v>
      </c>
      <c r="G187" s="304">
        <v>2363.8165200000003</v>
      </c>
      <c r="H187" s="278"/>
      <c r="I187" s="278"/>
      <c r="J187" s="278"/>
      <c r="K187" s="13"/>
      <c r="L187" s="3"/>
      <c r="M187" s="3"/>
      <c r="N187" s="3"/>
    </row>
    <row r="188" spans="1:14">
      <c r="A188" s="291" t="s">
        <v>2532</v>
      </c>
      <c r="B188" s="292">
        <v>2</v>
      </c>
      <c r="C188" s="293">
        <v>2600</v>
      </c>
      <c r="D188" s="294" t="s">
        <v>2347</v>
      </c>
      <c r="E188" s="307">
        <v>2371.1296050000001</v>
      </c>
      <c r="F188" s="717">
        <v>4777.4188800000002</v>
      </c>
      <c r="G188" s="304">
        <v>2276.3122200000007</v>
      </c>
      <c r="H188" s="278"/>
      <c r="I188" s="278"/>
      <c r="J188" s="278"/>
      <c r="K188" s="13"/>
      <c r="L188" s="3"/>
      <c r="M188" s="3"/>
      <c r="N188" s="3"/>
    </row>
    <row r="189" spans="1:14">
      <c r="A189" s="291" t="s">
        <v>2533</v>
      </c>
      <c r="B189" s="292">
        <v>2</v>
      </c>
      <c r="C189" s="293">
        <v>2500</v>
      </c>
      <c r="D189" s="294" t="s">
        <v>2347</v>
      </c>
      <c r="E189" s="307">
        <v>2279.9766600000003</v>
      </c>
      <c r="F189" s="717">
        <v>4593.6949500000001</v>
      </c>
      <c r="G189" s="304">
        <v>2188.7605350000003</v>
      </c>
      <c r="H189" s="278"/>
      <c r="I189" s="278"/>
      <c r="J189" s="278"/>
      <c r="K189" s="13"/>
      <c r="L189" s="3"/>
      <c r="M189" s="3"/>
      <c r="N189" s="3"/>
    </row>
    <row r="190" spans="1:14">
      <c r="A190" s="291" t="s">
        <v>2534</v>
      </c>
      <c r="B190" s="292">
        <v>2</v>
      </c>
      <c r="C190" s="293">
        <v>2400</v>
      </c>
      <c r="D190" s="294" t="s">
        <v>2347</v>
      </c>
      <c r="E190" s="307">
        <v>2188.71315</v>
      </c>
      <c r="F190" s="717">
        <v>4409.8914599999998</v>
      </c>
      <c r="G190" s="304">
        <v>2101.1772599999999</v>
      </c>
      <c r="H190" s="278"/>
      <c r="I190" s="278"/>
      <c r="J190" s="278"/>
      <c r="K190" s="13"/>
      <c r="L190" s="3"/>
      <c r="M190" s="3"/>
      <c r="N190" s="3"/>
    </row>
    <row r="191" spans="1:14">
      <c r="A191" s="291" t="s">
        <v>2535</v>
      </c>
      <c r="B191" s="292">
        <v>2</v>
      </c>
      <c r="C191" s="293">
        <v>2300</v>
      </c>
      <c r="D191" s="294" t="s">
        <v>2347</v>
      </c>
      <c r="E191" s="307">
        <v>2097.54441</v>
      </c>
      <c r="F191" s="717">
        <v>4226.1874200000011</v>
      </c>
      <c r="G191" s="304">
        <v>2013.6413700000001</v>
      </c>
      <c r="H191" s="278"/>
      <c r="I191" s="278"/>
      <c r="J191" s="278"/>
      <c r="K191" s="13"/>
      <c r="L191" s="3"/>
      <c r="M191" s="3"/>
      <c r="N191" s="3"/>
    </row>
    <row r="192" spans="1:14">
      <c r="A192" s="291" t="s">
        <v>2536</v>
      </c>
      <c r="B192" s="292">
        <v>2</v>
      </c>
      <c r="C192" s="293">
        <v>2200</v>
      </c>
      <c r="D192" s="294" t="s">
        <v>2347</v>
      </c>
      <c r="E192" s="307">
        <v>2006.3282850000003</v>
      </c>
      <c r="F192" s="717">
        <v>4042.4038200000005</v>
      </c>
      <c r="G192" s="304">
        <v>1926.0896850000004</v>
      </c>
      <c r="H192" s="278"/>
      <c r="I192" s="278"/>
      <c r="J192" s="278"/>
      <c r="K192" s="13"/>
      <c r="L192" s="3"/>
      <c r="M192" s="3"/>
      <c r="N192" s="3"/>
    </row>
    <row r="193" spans="1:14">
      <c r="A193" s="291" t="s">
        <v>2537</v>
      </c>
      <c r="B193" s="292">
        <v>2</v>
      </c>
      <c r="C193" s="293">
        <v>2100</v>
      </c>
      <c r="D193" s="294" t="s">
        <v>2347</v>
      </c>
      <c r="E193" s="307">
        <v>1915.1437500000002</v>
      </c>
      <c r="F193" s="717">
        <v>3858.7196700000004</v>
      </c>
      <c r="G193" s="304">
        <v>1838.553795</v>
      </c>
      <c r="H193" s="278"/>
      <c r="I193" s="278"/>
      <c r="J193" s="278"/>
      <c r="K193" s="13"/>
      <c r="L193" s="3"/>
      <c r="M193" s="3"/>
      <c r="N193" s="3"/>
    </row>
    <row r="194" spans="1:14" s="277" customFormat="1">
      <c r="A194" s="287" t="s">
        <v>2538</v>
      </c>
      <c r="B194" s="288">
        <v>2</v>
      </c>
      <c r="C194" s="289">
        <v>2000</v>
      </c>
      <c r="D194" s="290" t="s">
        <v>2347</v>
      </c>
      <c r="E194" s="305">
        <v>1823.9118300000002</v>
      </c>
      <c r="F194" s="718">
        <v>3674.8764000000001</v>
      </c>
      <c r="G194" s="306">
        <v>1750.9547250000001</v>
      </c>
      <c r="H194" s="278"/>
      <c r="I194" s="278"/>
      <c r="J194" s="278"/>
      <c r="K194" s="13"/>
      <c r="L194" s="3"/>
      <c r="M194" s="3"/>
      <c r="N194" s="3"/>
    </row>
    <row r="195" spans="1:14">
      <c r="A195" s="291" t="s">
        <v>2539</v>
      </c>
      <c r="B195" s="292">
        <v>2</v>
      </c>
      <c r="C195" s="293">
        <v>1900</v>
      </c>
      <c r="D195" s="294" t="s">
        <v>2347</v>
      </c>
      <c r="E195" s="307">
        <v>1732.7272950000001</v>
      </c>
      <c r="F195" s="717">
        <v>3491.1723599999996</v>
      </c>
      <c r="G195" s="304">
        <v>1663.4188350000004</v>
      </c>
      <c r="H195" s="278"/>
      <c r="I195" s="278"/>
      <c r="J195" s="278"/>
      <c r="K195" s="13"/>
      <c r="L195" s="3"/>
      <c r="M195" s="3"/>
      <c r="N195" s="3"/>
    </row>
    <row r="196" spans="1:14">
      <c r="A196" s="291" t="s">
        <v>2540</v>
      </c>
      <c r="B196" s="292">
        <v>2</v>
      </c>
      <c r="C196" s="293">
        <v>1800</v>
      </c>
      <c r="D196" s="294" t="s">
        <v>2347</v>
      </c>
      <c r="E196" s="307">
        <v>1641.5743500000001</v>
      </c>
      <c r="F196" s="717">
        <v>3307.4683200000004</v>
      </c>
      <c r="G196" s="304">
        <v>1575.9145350000001</v>
      </c>
      <c r="H196" s="278"/>
      <c r="I196" s="278"/>
      <c r="J196" s="278"/>
      <c r="K196" s="13"/>
      <c r="L196" s="3"/>
      <c r="M196" s="3"/>
      <c r="N196" s="3"/>
    </row>
    <row r="197" spans="1:14">
      <c r="A197" s="291" t="s">
        <v>2541</v>
      </c>
      <c r="B197" s="292">
        <v>2</v>
      </c>
      <c r="C197" s="293">
        <v>1700</v>
      </c>
      <c r="D197" s="294" t="s">
        <v>2347</v>
      </c>
      <c r="E197" s="307">
        <v>1550.3582249999999</v>
      </c>
      <c r="F197" s="717">
        <v>3123.6847200000002</v>
      </c>
      <c r="G197" s="304">
        <v>1488.3470550000004</v>
      </c>
      <c r="H197" s="278"/>
      <c r="I197" s="278"/>
      <c r="J197" s="278"/>
      <c r="K197" s="13"/>
      <c r="L197" s="3"/>
      <c r="M197" s="3"/>
      <c r="N197" s="3"/>
    </row>
    <row r="198" spans="1:14">
      <c r="A198" s="291" t="s">
        <v>2542</v>
      </c>
      <c r="B198" s="292">
        <v>2</v>
      </c>
      <c r="C198" s="293">
        <v>1600</v>
      </c>
      <c r="D198" s="294" t="s">
        <v>2347</v>
      </c>
      <c r="E198" s="307">
        <v>1459.1736900000001</v>
      </c>
      <c r="F198" s="717">
        <v>2939.9806799999997</v>
      </c>
      <c r="G198" s="304">
        <v>1400.7953700000003</v>
      </c>
      <c r="H198" s="278"/>
      <c r="I198" s="278"/>
      <c r="J198" s="278"/>
      <c r="K198" s="13"/>
      <c r="L198" s="3"/>
      <c r="M198" s="3"/>
      <c r="N198" s="3"/>
    </row>
    <row r="199" spans="1:14">
      <c r="A199" s="291" t="s">
        <v>2543</v>
      </c>
      <c r="B199" s="292">
        <v>2</v>
      </c>
      <c r="C199" s="293">
        <v>1500</v>
      </c>
      <c r="D199" s="294" t="s">
        <v>2347</v>
      </c>
      <c r="E199" s="307">
        <v>1367.9417699999999</v>
      </c>
      <c r="F199" s="717">
        <v>2756.1374100000003</v>
      </c>
      <c r="G199" s="304">
        <v>1313.2120950000001</v>
      </c>
      <c r="H199" s="278"/>
      <c r="I199" s="278"/>
      <c r="J199" s="278"/>
      <c r="K199" s="13"/>
      <c r="L199" s="3"/>
      <c r="M199" s="3"/>
      <c r="N199" s="3"/>
    </row>
    <row r="200" spans="1:14">
      <c r="A200" s="291" t="s">
        <v>2544</v>
      </c>
      <c r="B200" s="292">
        <v>2</v>
      </c>
      <c r="C200" s="293">
        <v>1400</v>
      </c>
      <c r="D200" s="294" t="s">
        <v>2347</v>
      </c>
      <c r="E200" s="307">
        <v>1276.7730300000003</v>
      </c>
      <c r="F200" s="717">
        <v>2572.4532599999998</v>
      </c>
      <c r="G200" s="304">
        <v>1225.707795</v>
      </c>
      <c r="H200" s="278"/>
      <c r="I200" s="278"/>
      <c r="J200" s="278"/>
      <c r="K200" s="13"/>
      <c r="L200" s="3"/>
      <c r="M200" s="3"/>
      <c r="N200" s="3"/>
    </row>
    <row r="201" spans="1:14">
      <c r="A201" s="291" t="s">
        <v>2545</v>
      </c>
      <c r="B201" s="292">
        <v>2</v>
      </c>
      <c r="C201" s="293">
        <v>1300</v>
      </c>
      <c r="D201" s="294" t="s">
        <v>2347</v>
      </c>
      <c r="E201" s="307">
        <v>1185.5884950000002</v>
      </c>
      <c r="F201" s="717">
        <v>2388.7293300000006</v>
      </c>
      <c r="G201" s="304">
        <v>1138.1719050000002</v>
      </c>
      <c r="H201" s="278"/>
      <c r="I201" s="278"/>
      <c r="J201" s="278"/>
      <c r="K201" s="13"/>
      <c r="L201" s="3"/>
      <c r="M201" s="3"/>
      <c r="N201" s="3"/>
    </row>
    <row r="202" spans="1:14">
      <c r="A202" s="291" t="s">
        <v>2546</v>
      </c>
      <c r="B202" s="292">
        <v>2</v>
      </c>
      <c r="C202" s="293">
        <v>1200</v>
      </c>
      <c r="D202" s="294" t="s">
        <v>2347</v>
      </c>
      <c r="E202" s="307">
        <v>1094.3723700000003</v>
      </c>
      <c r="F202" s="717">
        <v>2204.9457299999999</v>
      </c>
      <c r="G202" s="304">
        <v>1050.604425</v>
      </c>
      <c r="H202" s="278"/>
      <c r="I202" s="278"/>
      <c r="J202" s="278"/>
      <c r="K202" s="13"/>
      <c r="L202" s="3"/>
      <c r="M202" s="3"/>
      <c r="N202" s="3"/>
    </row>
    <row r="203" spans="1:14">
      <c r="A203" s="291" t="s">
        <v>2547</v>
      </c>
      <c r="B203" s="292">
        <v>2</v>
      </c>
      <c r="C203" s="293">
        <v>1100</v>
      </c>
      <c r="D203" s="294" t="s">
        <v>2347</v>
      </c>
      <c r="E203" s="307">
        <v>1003.2194250000002</v>
      </c>
      <c r="F203" s="717">
        <v>2021.2615799999999</v>
      </c>
      <c r="G203" s="304">
        <v>963.0527400000002</v>
      </c>
      <c r="H203" s="278"/>
      <c r="I203" s="278"/>
      <c r="J203" s="278"/>
      <c r="K203" s="13"/>
      <c r="L203" s="3"/>
      <c r="M203" s="3"/>
      <c r="N203" s="3"/>
    </row>
    <row r="204" spans="1:14" s="277" customFormat="1">
      <c r="A204" s="287" t="s">
        <v>2548</v>
      </c>
      <c r="B204" s="288">
        <v>2</v>
      </c>
      <c r="C204" s="289">
        <v>1000</v>
      </c>
      <c r="D204" s="290" t="s">
        <v>2347</v>
      </c>
      <c r="E204" s="305">
        <v>911.97171000000014</v>
      </c>
      <c r="F204" s="718">
        <v>1837.4382000000001</v>
      </c>
      <c r="G204" s="306">
        <v>875.48526000000004</v>
      </c>
      <c r="H204" s="278"/>
      <c r="I204" s="278"/>
      <c r="J204" s="278"/>
      <c r="K204" s="13"/>
      <c r="L204" s="3"/>
      <c r="M204" s="3"/>
      <c r="N204" s="3"/>
    </row>
    <row r="205" spans="1:14">
      <c r="A205" s="291" t="s">
        <v>2549</v>
      </c>
      <c r="B205" s="292">
        <v>2</v>
      </c>
      <c r="C205" s="293">
        <v>900</v>
      </c>
      <c r="D205" s="294" t="s">
        <v>2347</v>
      </c>
      <c r="E205" s="307">
        <v>876.05388000000005</v>
      </c>
      <c r="F205" s="717">
        <v>1765.0187100000001</v>
      </c>
      <c r="G205" s="304">
        <v>840.9889800000002</v>
      </c>
      <c r="H205" s="278"/>
      <c r="I205" s="278"/>
      <c r="J205" s="278"/>
      <c r="K205" s="13"/>
      <c r="L205" s="3"/>
      <c r="M205" s="3"/>
      <c r="N205" s="3"/>
    </row>
    <row r="206" spans="1:14">
      <c r="A206" s="291" t="s">
        <v>2550</v>
      </c>
      <c r="B206" s="292">
        <v>2</v>
      </c>
      <c r="C206" s="293">
        <v>800</v>
      </c>
      <c r="D206" s="294" t="s">
        <v>2347</v>
      </c>
      <c r="E206" s="307">
        <v>812.43162000000007</v>
      </c>
      <c r="F206" s="717">
        <v>1636.8873300000002</v>
      </c>
      <c r="G206" s="304">
        <v>779.92551000000014</v>
      </c>
      <c r="H206" s="278"/>
      <c r="I206" s="278"/>
      <c r="J206" s="278"/>
      <c r="K206" s="13"/>
      <c r="L206" s="3"/>
      <c r="M206" s="3"/>
      <c r="N206" s="3"/>
    </row>
    <row r="207" spans="1:14">
      <c r="A207" s="291" t="s">
        <v>2551</v>
      </c>
      <c r="B207" s="292">
        <v>2</v>
      </c>
      <c r="C207" s="293">
        <v>700</v>
      </c>
      <c r="D207" s="294" t="s">
        <v>2347</v>
      </c>
      <c r="E207" s="307">
        <v>748.8883350000001</v>
      </c>
      <c r="F207" s="717">
        <v>1508.8752900000002</v>
      </c>
      <c r="G207" s="304">
        <v>718.92522000000019</v>
      </c>
      <c r="H207" s="278"/>
      <c r="I207" s="278"/>
      <c r="J207" s="278"/>
      <c r="K207" s="13"/>
      <c r="L207" s="3"/>
      <c r="M207" s="3"/>
      <c r="N207" s="3"/>
    </row>
    <row r="208" spans="1:14">
      <c r="A208" s="291" t="s">
        <v>2552</v>
      </c>
      <c r="B208" s="292">
        <v>2</v>
      </c>
      <c r="C208" s="293">
        <v>600</v>
      </c>
      <c r="D208" s="294" t="s">
        <v>2347</v>
      </c>
      <c r="E208" s="307">
        <v>657.71959500000014</v>
      </c>
      <c r="F208" s="717">
        <v>1325.1513600000003</v>
      </c>
      <c r="G208" s="304">
        <v>631.40512500000023</v>
      </c>
      <c r="H208" s="278"/>
      <c r="I208" s="278"/>
      <c r="J208" s="278"/>
      <c r="K208" s="13"/>
      <c r="L208" s="3"/>
      <c r="M208" s="3"/>
      <c r="N208" s="3"/>
    </row>
    <row r="209" spans="1:14">
      <c r="A209" s="291" t="s">
        <v>2553</v>
      </c>
      <c r="B209" s="292">
        <v>2</v>
      </c>
      <c r="C209" s="293">
        <v>500</v>
      </c>
      <c r="D209" s="294" t="s">
        <v>2347</v>
      </c>
      <c r="E209" s="307">
        <v>566.48767500000008</v>
      </c>
      <c r="F209" s="717">
        <v>1141.3478700000001</v>
      </c>
      <c r="G209" s="304">
        <v>543.80605500000013</v>
      </c>
      <c r="H209" s="278"/>
      <c r="I209" s="278"/>
      <c r="J209" s="278"/>
      <c r="K209" s="13"/>
      <c r="L209" s="3"/>
      <c r="M209" s="3"/>
      <c r="N209" s="3"/>
    </row>
    <row r="210" spans="1:14">
      <c r="A210" s="291" t="s">
        <v>2554</v>
      </c>
      <c r="B210" s="292">
        <v>2</v>
      </c>
      <c r="C210" s="293">
        <v>400</v>
      </c>
      <c r="D210" s="294" t="s">
        <v>2347</v>
      </c>
      <c r="E210" s="307">
        <v>475.3031400000001</v>
      </c>
      <c r="F210" s="717">
        <v>957.64383000000009</v>
      </c>
      <c r="G210" s="304">
        <v>456.28596000000005</v>
      </c>
      <c r="H210" s="278"/>
      <c r="I210" s="278"/>
      <c r="J210" s="278"/>
      <c r="K210" s="13"/>
      <c r="L210" s="3"/>
      <c r="M210" s="3"/>
      <c r="N210" s="3"/>
    </row>
    <row r="211" spans="1:14" ht="14.95" thickBot="1">
      <c r="A211" s="295" t="s">
        <v>2555</v>
      </c>
      <c r="B211" s="296">
        <v>2</v>
      </c>
      <c r="C211" s="297">
        <v>300</v>
      </c>
      <c r="D211" s="298" t="s">
        <v>2347</v>
      </c>
      <c r="E211" s="308">
        <v>384.08701500000001</v>
      </c>
      <c r="F211" s="719">
        <v>773.86023</v>
      </c>
      <c r="G211" s="309">
        <v>368.71848</v>
      </c>
      <c r="H211" s="278"/>
      <c r="I211" s="278"/>
      <c r="J211" s="278"/>
      <c r="K211" s="13"/>
      <c r="L211" s="3"/>
      <c r="M211" s="3"/>
      <c r="N211" s="3"/>
    </row>
    <row r="212" spans="1:14" ht="16.3" thickBot="1">
      <c r="A212" s="934" t="s">
        <v>2556</v>
      </c>
      <c r="B212" s="935"/>
      <c r="C212" s="935"/>
      <c r="D212" s="935"/>
      <c r="E212" s="935"/>
      <c r="F212" s="935"/>
      <c r="G212" s="935"/>
      <c r="H212" s="278"/>
      <c r="I212" s="278"/>
      <c r="J212" s="278"/>
      <c r="K212" s="13"/>
      <c r="L212" s="3"/>
      <c r="M212" s="3"/>
      <c r="N212" s="3"/>
    </row>
    <row r="213" spans="1:14">
      <c r="A213" s="299" t="s">
        <v>2557</v>
      </c>
      <c r="B213" s="300">
        <v>2.5</v>
      </c>
      <c r="C213" s="301">
        <v>6000</v>
      </c>
      <c r="D213" s="302" t="s">
        <v>2347</v>
      </c>
      <c r="E213" s="303">
        <v>7369.2204300000012</v>
      </c>
      <c r="F213" s="724">
        <v>14847.606539999997</v>
      </c>
      <c r="G213" s="310">
        <v>7074.4383450000005</v>
      </c>
      <c r="H213" s="278"/>
      <c r="I213" s="278"/>
      <c r="J213" s="278"/>
      <c r="K213" s="13"/>
      <c r="L213" s="3"/>
      <c r="M213" s="3"/>
      <c r="N213" s="3"/>
    </row>
    <row r="214" spans="1:14" s="277" customFormat="1" ht="19.55" customHeight="1">
      <c r="A214" s="287" t="s">
        <v>2558</v>
      </c>
      <c r="B214" s="288">
        <v>2.5</v>
      </c>
      <c r="C214" s="289">
        <v>3000</v>
      </c>
      <c r="D214" s="290" t="s">
        <v>2347</v>
      </c>
      <c r="E214" s="305">
        <v>3684.5786250000006</v>
      </c>
      <c r="F214" s="718">
        <v>7423.7237100000002</v>
      </c>
      <c r="G214" s="306">
        <v>3537.1954800000008</v>
      </c>
      <c r="H214" s="278"/>
      <c r="I214" s="278"/>
      <c r="J214" s="278"/>
      <c r="K214" s="13"/>
      <c r="L214" s="3"/>
      <c r="M214" s="3"/>
      <c r="N214" s="3"/>
    </row>
    <row r="215" spans="1:14">
      <c r="A215" s="291" t="s">
        <v>2559</v>
      </c>
      <c r="B215" s="292">
        <v>2.5</v>
      </c>
      <c r="C215" s="293">
        <v>2900</v>
      </c>
      <c r="D215" s="294" t="s">
        <v>2347</v>
      </c>
      <c r="E215" s="307">
        <v>3561.7882950000007</v>
      </c>
      <c r="F215" s="717">
        <v>7176.3517800000009</v>
      </c>
      <c r="G215" s="304">
        <v>3419.3173950000005</v>
      </c>
      <c r="H215" s="278"/>
      <c r="I215" s="278"/>
      <c r="J215" s="278"/>
      <c r="K215" s="13"/>
      <c r="L215" s="3"/>
      <c r="M215" s="3"/>
      <c r="N215" s="3"/>
    </row>
    <row r="216" spans="1:14">
      <c r="A216" s="291" t="s">
        <v>2560</v>
      </c>
      <c r="B216" s="292">
        <v>2.5</v>
      </c>
      <c r="C216" s="293">
        <v>2800</v>
      </c>
      <c r="D216" s="294" t="s">
        <v>2347</v>
      </c>
      <c r="E216" s="307">
        <v>3438.9821700000011</v>
      </c>
      <c r="F216" s="717">
        <v>6928.9002900000005</v>
      </c>
      <c r="G216" s="304">
        <v>3301.4393100000002</v>
      </c>
      <c r="H216" s="278"/>
      <c r="I216" s="278"/>
      <c r="J216" s="278"/>
      <c r="K216" s="13"/>
      <c r="L216" s="3"/>
      <c r="M216" s="3"/>
      <c r="N216" s="3"/>
    </row>
    <row r="217" spans="1:14">
      <c r="A217" s="291" t="s">
        <v>2561</v>
      </c>
      <c r="B217" s="292">
        <v>2.5</v>
      </c>
      <c r="C217" s="293">
        <v>2700</v>
      </c>
      <c r="D217" s="294" t="s">
        <v>2347</v>
      </c>
      <c r="E217" s="307">
        <v>3316.1286600000003</v>
      </c>
      <c r="F217" s="717">
        <v>6681.3692400000009</v>
      </c>
      <c r="G217" s="304">
        <v>3183.4822500000005</v>
      </c>
      <c r="H217" s="278"/>
      <c r="I217" s="278"/>
      <c r="J217" s="278"/>
      <c r="K217" s="13"/>
      <c r="L217" s="3"/>
      <c r="M217" s="3"/>
      <c r="N217" s="3"/>
    </row>
    <row r="218" spans="1:14">
      <c r="A218" s="291" t="s">
        <v>2562</v>
      </c>
      <c r="B218" s="292">
        <v>2.5</v>
      </c>
      <c r="C218" s="293">
        <v>2600</v>
      </c>
      <c r="D218" s="294" t="s">
        <v>2347</v>
      </c>
      <c r="E218" s="307">
        <v>3193.3541250000003</v>
      </c>
      <c r="F218" s="717">
        <v>6433.9973099999997</v>
      </c>
      <c r="G218" s="304">
        <v>3065.6041650000002</v>
      </c>
      <c r="H218" s="278"/>
      <c r="I218" s="278"/>
      <c r="J218" s="278"/>
      <c r="K218" s="13"/>
      <c r="L218" s="3"/>
      <c r="M218" s="3"/>
      <c r="N218" s="3"/>
    </row>
    <row r="219" spans="1:14">
      <c r="A219" s="291" t="s">
        <v>2563</v>
      </c>
      <c r="B219" s="292">
        <v>2.5</v>
      </c>
      <c r="C219" s="293">
        <v>2500</v>
      </c>
      <c r="D219" s="294" t="s">
        <v>2347</v>
      </c>
      <c r="E219" s="307">
        <v>3070.4848200000006</v>
      </c>
      <c r="F219" s="717">
        <v>6186.4662600000011</v>
      </c>
      <c r="G219" s="304">
        <v>2947.6786950000005</v>
      </c>
      <c r="H219" s="278"/>
      <c r="I219" s="278"/>
      <c r="J219" s="278"/>
      <c r="K219" s="13"/>
      <c r="L219" s="3"/>
      <c r="M219" s="3"/>
      <c r="N219" s="3"/>
    </row>
    <row r="220" spans="1:14">
      <c r="A220" s="291" t="s">
        <v>2564</v>
      </c>
      <c r="B220" s="292">
        <v>2.5</v>
      </c>
      <c r="C220" s="293">
        <v>2400</v>
      </c>
      <c r="D220" s="294" t="s">
        <v>2347</v>
      </c>
      <c r="E220" s="307">
        <v>2947.6786950000005</v>
      </c>
      <c r="F220" s="717">
        <v>5939.0147699999998</v>
      </c>
      <c r="G220" s="304">
        <v>2829.7690200000002</v>
      </c>
      <c r="H220" s="278"/>
      <c r="I220" s="278"/>
      <c r="J220" s="278"/>
      <c r="K220" s="13"/>
      <c r="L220" s="3"/>
      <c r="M220" s="3"/>
      <c r="N220" s="3"/>
    </row>
    <row r="221" spans="1:14">
      <c r="A221" s="291" t="s">
        <v>2565</v>
      </c>
      <c r="B221" s="292">
        <v>2.5</v>
      </c>
      <c r="C221" s="293">
        <v>2300</v>
      </c>
      <c r="D221" s="294" t="s">
        <v>2347</v>
      </c>
      <c r="E221" s="307">
        <v>2824.8409800000009</v>
      </c>
      <c r="F221" s="717">
        <v>5691.5235000000002</v>
      </c>
      <c r="G221" s="304">
        <v>2711.8435500000005</v>
      </c>
      <c r="H221" s="278"/>
      <c r="I221" s="278"/>
      <c r="J221" s="278"/>
      <c r="K221" s="13"/>
      <c r="L221" s="3"/>
      <c r="M221" s="3"/>
      <c r="N221" s="3"/>
    </row>
    <row r="222" spans="1:14">
      <c r="A222" s="291" t="s">
        <v>2566</v>
      </c>
      <c r="B222" s="292">
        <v>2.5</v>
      </c>
      <c r="C222" s="293">
        <v>2200</v>
      </c>
      <c r="D222" s="294" t="s">
        <v>2347</v>
      </c>
      <c r="E222" s="307">
        <v>2702.0348550000003</v>
      </c>
      <c r="F222" s="717">
        <v>5444.1117900000008</v>
      </c>
      <c r="G222" s="304">
        <v>2593.9654650000002</v>
      </c>
      <c r="H222" s="278"/>
      <c r="I222" s="278"/>
      <c r="J222" s="278"/>
      <c r="K222" s="13"/>
      <c r="L222" s="3"/>
      <c r="M222" s="3"/>
      <c r="N222" s="3"/>
    </row>
    <row r="223" spans="1:14">
      <c r="A223" s="291" t="s">
        <v>2567</v>
      </c>
      <c r="B223" s="292">
        <v>2.5</v>
      </c>
      <c r="C223" s="293">
        <v>2100</v>
      </c>
      <c r="D223" s="294" t="s">
        <v>2347</v>
      </c>
      <c r="E223" s="307">
        <v>2579.2287300000003</v>
      </c>
      <c r="F223" s="717">
        <v>5196.6602999999996</v>
      </c>
      <c r="G223" s="304">
        <v>2476.0715850000006</v>
      </c>
      <c r="H223" s="278"/>
      <c r="I223" s="278"/>
      <c r="J223" s="278"/>
      <c r="K223" s="13"/>
      <c r="L223" s="3"/>
      <c r="M223" s="3"/>
      <c r="N223" s="3"/>
    </row>
    <row r="224" spans="1:14" s="277" customFormat="1" ht="18" customHeight="1">
      <c r="A224" s="287" t="s">
        <v>2568</v>
      </c>
      <c r="B224" s="288">
        <v>2.5</v>
      </c>
      <c r="C224" s="289">
        <v>2000</v>
      </c>
      <c r="D224" s="290" t="s">
        <v>2347</v>
      </c>
      <c r="E224" s="305">
        <v>2456.3910150000006</v>
      </c>
      <c r="F224" s="718">
        <v>4949.16903</v>
      </c>
      <c r="G224" s="306">
        <v>2358.1145250000004</v>
      </c>
      <c r="H224" s="278"/>
      <c r="I224" s="278"/>
      <c r="J224" s="278"/>
      <c r="K224" s="13"/>
      <c r="L224" s="3"/>
      <c r="M224" s="3"/>
      <c r="N224" s="3"/>
    </row>
    <row r="225" spans="1:14">
      <c r="A225" s="291" t="s">
        <v>2569</v>
      </c>
      <c r="B225" s="292">
        <v>2.5</v>
      </c>
      <c r="C225" s="293">
        <v>1900</v>
      </c>
      <c r="D225" s="294" t="s">
        <v>2347</v>
      </c>
      <c r="E225" s="307">
        <v>2333.6006850000003</v>
      </c>
      <c r="F225" s="717">
        <v>4701.7772099999993</v>
      </c>
      <c r="G225" s="304">
        <v>2240.2522349999999</v>
      </c>
      <c r="H225" s="278"/>
      <c r="I225" s="278"/>
      <c r="J225" s="278"/>
      <c r="K225" s="13"/>
      <c r="L225" s="3"/>
      <c r="M225" s="3"/>
      <c r="N225" s="3"/>
    </row>
    <row r="226" spans="1:14">
      <c r="A226" s="291" t="s">
        <v>2570</v>
      </c>
      <c r="B226" s="292">
        <v>2.5</v>
      </c>
      <c r="C226" s="293">
        <v>1800</v>
      </c>
      <c r="D226" s="294" t="s">
        <v>2347</v>
      </c>
      <c r="E226" s="307">
        <v>2210.747175</v>
      </c>
      <c r="F226" s="717">
        <v>4454.2461600000006</v>
      </c>
      <c r="G226" s="304">
        <v>2122.3109700000005</v>
      </c>
      <c r="H226" s="278"/>
      <c r="I226" s="278"/>
      <c r="J226" s="278"/>
      <c r="K226" s="13"/>
      <c r="L226" s="3"/>
      <c r="M226" s="3"/>
      <c r="N226" s="3"/>
    </row>
    <row r="227" spans="1:14">
      <c r="A227" s="291" t="s">
        <v>2571</v>
      </c>
      <c r="B227" s="292">
        <v>2.5</v>
      </c>
      <c r="C227" s="293">
        <v>1700</v>
      </c>
      <c r="D227" s="294" t="s">
        <v>2347</v>
      </c>
      <c r="E227" s="307">
        <v>2087.9410500000004</v>
      </c>
      <c r="F227" s="717">
        <v>4206.8145600000007</v>
      </c>
      <c r="G227" s="304">
        <v>2004.4328850000002</v>
      </c>
      <c r="H227" s="278"/>
      <c r="I227" s="278"/>
      <c r="J227" s="278"/>
      <c r="K227" s="13"/>
      <c r="L227" s="3"/>
      <c r="M227" s="3"/>
      <c r="N227" s="3"/>
    </row>
    <row r="228" spans="1:14">
      <c r="A228" s="291" t="s">
        <v>2572</v>
      </c>
      <c r="B228" s="292">
        <v>2.5</v>
      </c>
      <c r="C228" s="293">
        <v>1600</v>
      </c>
      <c r="D228" s="294" t="s">
        <v>2347</v>
      </c>
      <c r="E228" s="307">
        <v>1965.1507200000003</v>
      </c>
      <c r="F228" s="717">
        <v>3959.4028500000009</v>
      </c>
      <c r="G228" s="304">
        <v>1886.5390050000003</v>
      </c>
      <c r="H228" s="278"/>
      <c r="I228" s="278"/>
      <c r="J228" s="278"/>
      <c r="K228" s="13"/>
      <c r="L228" s="3"/>
      <c r="M228" s="3"/>
      <c r="N228" s="3"/>
    </row>
    <row r="229" spans="1:14">
      <c r="A229" s="291" t="s">
        <v>2573</v>
      </c>
      <c r="B229" s="292">
        <v>2.5</v>
      </c>
      <c r="C229" s="293">
        <v>1500</v>
      </c>
      <c r="D229" s="294" t="s">
        <v>2347</v>
      </c>
      <c r="E229" s="307">
        <v>1842.3130050000004</v>
      </c>
      <c r="F229" s="717">
        <v>3711.8916900000004</v>
      </c>
      <c r="G229" s="304">
        <v>1768.6135350000002</v>
      </c>
      <c r="H229" s="278"/>
      <c r="I229" s="278"/>
      <c r="J229" s="278"/>
      <c r="K229" s="13"/>
      <c r="L229" s="3"/>
      <c r="M229" s="3"/>
      <c r="N229" s="3"/>
    </row>
    <row r="230" spans="1:14">
      <c r="A230" s="291" t="s">
        <v>2574</v>
      </c>
      <c r="B230" s="292">
        <v>2.5</v>
      </c>
      <c r="C230" s="293">
        <v>1400</v>
      </c>
      <c r="D230" s="294" t="s">
        <v>2347</v>
      </c>
      <c r="E230" s="307">
        <v>1719.4910850000006</v>
      </c>
      <c r="F230" s="717">
        <v>3464.46009</v>
      </c>
      <c r="G230" s="304">
        <v>1650.7038600000001</v>
      </c>
      <c r="H230" s="278"/>
      <c r="I230" s="278"/>
      <c r="J230" s="278"/>
      <c r="K230" s="13"/>
      <c r="L230" s="3"/>
      <c r="M230" s="3"/>
      <c r="N230" s="3"/>
    </row>
    <row r="231" spans="1:14">
      <c r="A231" s="291" t="s">
        <v>2575</v>
      </c>
      <c r="B231" s="292">
        <v>2.5</v>
      </c>
      <c r="C231" s="293">
        <v>1300</v>
      </c>
      <c r="D231" s="294" t="s">
        <v>2347</v>
      </c>
      <c r="E231" s="307">
        <v>1596.6375750000002</v>
      </c>
      <c r="F231" s="717">
        <v>3216.9290399999995</v>
      </c>
      <c r="G231" s="304">
        <v>1532.7625950000001</v>
      </c>
      <c r="H231" s="278"/>
      <c r="I231" s="278"/>
      <c r="J231" s="278"/>
      <c r="K231" s="13"/>
      <c r="L231" s="3"/>
      <c r="M231" s="3"/>
      <c r="N231" s="3"/>
    </row>
    <row r="232" spans="1:14">
      <c r="A232" s="291" t="s">
        <v>2576</v>
      </c>
      <c r="B232" s="292">
        <v>2.5</v>
      </c>
      <c r="C232" s="293">
        <v>1200</v>
      </c>
      <c r="D232" s="294" t="s">
        <v>2347</v>
      </c>
      <c r="E232" s="307">
        <v>1473.8472450000002</v>
      </c>
      <c r="F232" s="717">
        <v>2969.5372200000002</v>
      </c>
      <c r="G232" s="304">
        <v>1414.9003050000001</v>
      </c>
      <c r="H232" s="278"/>
      <c r="I232" s="278"/>
      <c r="J232" s="278"/>
      <c r="K232" s="13"/>
      <c r="L232" s="3"/>
      <c r="M232" s="3"/>
      <c r="N232" s="3"/>
    </row>
    <row r="233" spans="1:14">
      <c r="A233" s="291" t="s">
        <v>2577</v>
      </c>
      <c r="B233" s="292">
        <v>2.5</v>
      </c>
      <c r="C233" s="293">
        <v>1100</v>
      </c>
      <c r="D233" s="294" t="s">
        <v>2347</v>
      </c>
      <c r="E233" s="307">
        <v>1351.0411200000003</v>
      </c>
      <c r="F233" s="717">
        <v>2722.1056200000003</v>
      </c>
      <c r="G233" s="304">
        <v>1297.0064250000003</v>
      </c>
      <c r="H233" s="278"/>
      <c r="I233" s="278"/>
      <c r="J233" s="278"/>
      <c r="K233" s="13"/>
      <c r="L233" s="3"/>
      <c r="M233" s="3"/>
      <c r="N233" s="3"/>
    </row>
    <row r="234" spans="1:14" s="277" customFormat="1" ht="18" customHeight="1">
      <c r="A234" s="287" t="s">
        <v>2578</v>
      </c>
      <c r="B234" s="288">
        <v>2.5</v>
      </c>
      <c r="C234" s="289">
        <v>1000</v>
      </c>
      <c r="D234" s="290" t="s">
        <v>2347</v>
      </c>
      <c r="E234" s="305">
        <v>1228.1876100000002</v>
      </c>
      <c r="F234" s="718">
        <v>2474.5944600000003</v>
      </c>
      <c r="G234" s="306">
        <v>1179.0651600000001</v>
      </c>
      <c r="H234" s="278"/>
      <c r="I234" s="278"/>
      <c r="J234" s="278"/>
      <c r="K234" s="13"/>
      <c r="L234" s="3"/>
      <c r="M234" s="3"/>
      <c r="N234" s="3"/>
    </row>
    <row r="235" spans="1:14">
      <c r="A235" s="291" t="s">
        <v>2579</v>
      </c>
      <c r="B235" s="292">
        <v>2.5</v>
      </c>
      <c r="C235" s="293">
        <v>900</v>
      </c>
      <c r="D235" s="294" t="s">
        <v>2347</v>
      </c>
      <c r="E235" s="307">
        <v>1159.052895</v>
      </c>
      <c r="F235" s="717">
        <v>2335.2848999999997</v>
      </c>
      <c r="G235" s="304">
        <v>1112.6945700000003</v>
      </c>
      <c r="H235" s="278"/>
      <c r="I235" s="278"/>
      <c r="J235" s="278"/>
      <c r="K235" s="13"/>
      <c r="L235" s="3"/>
      <c r="M235" s="3"/>
      <c r="N235" s="3"/>
    </row>
    <row r="236" spans="1:14">
      <c r="A236" s="291" t="s">
        <v>2580</v>
      </c>
      <c r="B236" s="292">
        <v>2.5</v>
      </c>
      <c r="C236" s="293">
        <v>800</v>
      </c>
      <c r="D236" s="294" t="s">
        <v>2347</v>
      </c>
      <c r="E236" s="307">
        <v>1063.0192950000001</v>
      </c>
      <c r="F236" s="717">
        <v>2141.7949800000001</v>
      </c>
      <c r="G236" s="304">
        <v>1020.5149500000002</v>
      </c>
      <c r="H236" s="278"/>
      <c r="I236" s="278"/>
      <c r="J236" s="278"/>
      <c r="K236" s="13"/>
      <c r="L236" s="3"/>
      <c r="M236" s="3"/>
      <c r="N236" s="3"/>
    </row>
    <row r="237" spans="1:14">
      <c r="A237" s="291" t="s">
        <v>2581</v>
      </c>
      <c r="B237" s="292">
        <v>2.5</v>
      </c>
      <c r="C237" s="293">
        <v>700</v>
      </c>
      <c r="D237" s="294" t="s">
        <v>2347</v>
      </c>
      <c r="E237" s="307">
        <v>967.04887500000018</v>
      </c>
      <c r="F237" s="717">
        <v>1948.4442900000001</v>
      </c>
      <c r="G237" s="304">
        <v>928.38271500000019</v>
      </c>
      <c r="H237" s="278"/>
      <c r="I237" s="278"/>
      <c r="J237" s="278"/>
      <c r="K237" s="13"/>
      <c r="L237" s="3"/>
      <c r="M237" s="3"/>
      <c r="N237" s="3"/>
    </row>
    <row r="238" spans="1:14">
      <c r="A238" s="291" t="s">
        <v>2582</v>
      </c>
      <c r="B238" s="292">
        <v>2.5</v>
      </c>
      <c r="C238" s="293">
        <v>600</v>
      </c>
      <c r="D238" s="294" t="s">
        <v>2347</v>
      </c>
      <c r="E238" s="307">
        <v>844.27434000000017</v>
      </c>
      <c r="F238" s="717">
        <v>1701.0325800000001</v>
      </c>
      <c r="G238" s="304">
        <v>810.50463000000002</v>
      </c>
      <c r="H238" s="278"/>
      <c r="I238" s="278"/>
      <c r="J238" s="278"/>
      <c r="K238" s="13"/>
      <c r="L238" s="3"/>
      <c r="M238" s="3"/>
      <c r="N238" s="3"/>
    </row>
    <row r="239" spans="1:14">
      <c r="A239" s="291" t="s">
        <v>2583</v>
      </c>
      <c r="B239" s="292">
        <v>2.5</v>
      </c>
      <c r="C239" s="293">
        <v>500</v>
      </c>
      <c r="D239" s="294" t="s">
        <v>2347</v>
      </c>
      <c r="E239" s="307">
        <v>721.405035</v>
      </c>
      <c r="F239" s="717">
        <v>1453.50153</v>
      </c>
      <c r="G239" s="304">
        <v>692.54757000000018</v>
      </c>
      <c r="H239" s="278"/>
      <c r="I239" s="278"/>
      <c r="J239" s="278"/>
      <c r="K239" s="13"/>
      <c r="L239" s="3"/>
      <c r="M239" s="3"/>
      <c r="N239" s="3"/>
    </row>
    <row r="240" spans="1:14">
      <c r="A240" s="291" t="s">
        <v>2584</v>
      </c>
      <c r="B240" s="292">
        <v>2.5</v>
      </c>
      <c r="C240" s="293">
        <v>400</v>
      </c>
      <c r="D240" s="294" t="s">
        <v>2347</v>
      </c>
      <c r="E240" s="307">
        <v>598.59891000000005</v>
      </c>
      <c r="F240" s="717">
        <v>1206.0898199999999</v>
      </c>
      <c r="G240" s="304">
        <v>574.66948500000001</v>
      </c>
      <c r="H240" s="278"/>
      <c r="I240" s="278"/>
      <c r="J240" s="278"/>
      <c r="K240" s="13"/>
      <c r="L240" s="3"/>
      <c r="M240" s="3"/>
      <c r="N240" s="3"/>
    </row>
    <row r="241" spans="1:14" ht="14.95" thickBot="1">
      <c r="A241" s="295" t="s">
        <v>2585</v>
      </c>
      <c r="B241" s="296">
        <v>2.5</v>
      </c>
      <c r="C241" s="297">
        <v>300</v>
      </c>
      <c r="D241" s="298" t="s">
        <v>2347</v>
      </c>
      <c r="E241" s="308">
        <v>475.76119500000004</v>
      </c>
      <c r="F241" s="719">
        <v>958.55876999999998</v>
      </c>
      <c r="G241" s="309">
        <v>456.72822000000014</v>
      </c>
      <c r="H241" s="278"/>
      <c r="I241" s="278"/>
      <c r="J241" s="278"/>
      <c r="K241" s="13"/>
      <c r="L241" s="3"/>
      <c r="M241" s="3"/>
      <c r="N241" s="3"/>
    </row>
    <row r="242" spans="1:14" s="342" customFormat="1">
      <c r="A242" s="767"/>
      <c r="B242" s="767"/>
      <c r="C242" s="767"/>
      <c r="D242" s="767"/>
      <c r="E242" s="280"/>
      <c r="F242" s="280"/>
      <c r="G242" s="768"/>
    </row>
    <row r="243" spans="1:14" s="342" customFormat="1">
      <c r="A243" s="767"/>
      <c r="B243" s="767"/>
      <c r="C243" s="767"/>
      <c r="D243" s="767"/>
      <c r="E243" s="280"/>
      <c r="F243" s="280"/>
      <c r="G243" s="768"/>
    </row>
    <row r="244" spans="1:14" s="342" customFormat="1">
      <c r="A244" s="767"/>
      <c r="B244" s="767"/>
      <c r="C244" s="767"/>
      <c r="D244" s="767"/>
      <c r="E244" s="280"/>
      <c r="F244" s="280"/>
      <c r="G244" s="768"/>
    </row>
    <row r="245" spans="1:14" s="342" customFormat="1">
      <c r="A245" s="767"/>
      <c r="B245" s="767"/>
      <c r="C245" s="767"/>
      <c r="D245" s="767"/>
      <c r="E245" s="280"/>
      <c r="F245" s="280"/>
      <c r="G245" s="768"/>
    </row>
    <row r="246" spans="1:14" s="342" customFormat="1">
      <c r="A246" s="767"/>
      <c r="B246" s="767"/>
      <c r="C246" s="767"/>
      <c r="D246" s="767"/>
      <c r="E246" s="280"/>
      <c r="F246" s="280"/>
      <c r="G246" s="768"/>
    </row>
    <row r="247" spans="1:14" s="342" customFormat="1">
      <c r="A247" s="767"/>
      <c r="B247" s="767"/>
      <c r="C247" s="767"/>
      <c r="D247" s="767"/>
      <c r="E247" s="280"/>
      <c r="F247" s="280"/>
      <c r="G247" s="768"/>
    </row>
    <row r="248" spans="1:14" s="342" customFormat="1">
      <c r="A248" s="767"/>
      <c r="B248" s="767"/>
      <c r="C248" s="767"/>
      <c r="D248" s="767"/>
      <c r="E248" s="280"/>
      <c r="F248" s="280"/>
      <c r="G248" s="768"/>
    </row>
    <row r="249" spans="1:14" s="342" customFormat="1">
      <c r="A249" s="767"/>
      <c r="B249" s="767"/>
      <c r="C249" s="767"/>
      <c r="D249" s="767"/>
      <c r="E249" s="280"/>
      <c r="F249" s="280"/>
      <c r="G249" s="768"/>
    </row>
    <row r="250" spans="1:14" s="342" customFormat="1">
      <c r="A250" s="767"/>
      <c r="B250" s="767"/>
      <c r="C250" s="767"/>
      <c r="D250" s="767"/>
      <c r="E250" s="280"/>
      <c r="F250" s="280"/>
      <c r="G250" s="768"/>
    </row>
    <row r="251" spans="1:14" s="342" customFormat="1">
      <c r="A251" s="767"/>
      <c r="B251" s="767"/>
      <c r="C251" s="767"/>
      <c r="D251" s="767"/>
      <c r="E251" s="280"/>
      <c r="F251" s="280"/>
      <c r="G251" s="768"/>
    </row>
    <row r="252" spans="1:14" s="342" customFormat="1">
      <c r="A252" s="767"/>
      <c r="B252" s="767"/>
      <c r="C252" s="767"/>
      <c r="D252" s="767"/>
      <c r="E252" s="280"/>
      <c r="F252" s="280"/>
      <c r="G252" s="768"/>
    </row>
    <row r="253" spans="1:14" s="342" customFormat="1">
      <c r="A253" s="767"/>
      <c r="B253" s="767"/>
      <c r="C253" s="767"/>
      <c r="D253" s="767"/>
      <c r="E253" s="280"/>
      <c r="F253" s="280"/>
      <c r="G253" s="768"/>
    </row>
    <row r="254" spans="1:14" s="342" customFormat="1">
      <c r="A254" s="767"/>
      <c r="B254" s="767"/>
      <c r="C254" s="767"/>
      <c r="D254" s="767"/>
      <c r="E254" s="280"/>
      <c r="F254" s="280"/>
      <c r="G254" s="768"/>
    </row>
    <row r="255" spans="1:14" s="342" customFormat="1">
      <c r="A255" s="767"/>
      <c r="B255" s="767"/>
      <c r="C255" s="767"/>
      <c r="D255" s="767"/>
      <c r="E255" s="280"/>
      <c r="F255" s="280"/>
      <c r="G255" s="768"/>
    </row>
    <row r="256" spans="1:14" s="342" customFormat="1">
      <c r="A256" s="767"/>
      <c r="B256" s="767"/>
      <c r="C256" s="767"/>
      <c r="D256" s="767"/>
      <c r="E256" s="280"/>
      <c r="F256" s="280"/>
      <c r="G256" s="768"/>
    </row>
    <row r="257" spans="1:7" s="342" customFormat="1">
      <c r="A257" s="767"/>
      <c r="B257" s="767"/>
      <c r="C257" s="767"/>
      <c r="D257" s="767"/>
      <c r="E257" s="280"/>
      <c r="F257" s="280"/>
      <c r="G257" s="768"/>
    </row>
    <row r="258" spans="1:7" s="342" customFormat="1">
      <c r="A258" s="767"/>
      <c r="B258" s="767"/>
      <c r="C258" s="767"/>
      <c r="D258" s="767"/>
      <c r="E258" s="280"/>
      <c r="F258" s="280"/>
      <c r="G258" s="768"/>
    </row>
    <row r="259" spans="1:7" s="342" customFormat="1">
      <c r="A259" s="767"/>
      <c r="B259" s="767"/>
      <c r="C259" s="767"/>
      <c r="D259" s="767"/>
      <c r="E259" s="280"/>
      <c r="F259" s="280"/>
      <c r="G259" s="768"/>
    </row>
    <row r="260" spans="1:7" s="342" customFormat="1">
      <c r="A260" s="767"/>
      <c r="B260" s="767"/>
      <c r="C260" s="767"/>
      <c r="D260" s="767"/>
      <c r="E260" s="280"/>
      <c r="F260" s="280"/>
      <c r="G260" s="768"/>
    </row>
    <row r="261" spans="1:7" s="342" customFormat="1">
      <c r="A261" s="767"/>
      <c r="B261" s="767"/>
      <c r="C261" s="767"/>
      <c r="D261" s="767"/>
      <c r="E261" s="280"/>
      <c r="F261" s="280"/>
      <c r="G261" s="768"/>
    </row>
    <row r="262" spans="1:7" s="342" customFormat="1">
      <c r="A262" s="767"/>
      <c r="B262" s="767"/>
      <c r="C262" s="767"/>
      <c r="D262" s="767"/>
      <c r="E262" s="280"/>
      <c r="F262" s="280"/>
      <c r="G262" s="768"/>
    </row>
    <row r="263" spans="1:7" s="342" customFormat="1">
      <c r="A263" s="767"/>
      <c r="B263" s="767"/>
      <c r="C263" s="767"/>
      <c r="D263" s="767"/>
      <c r="E263" s="280"/>
      <c r="F263" s="280"/>
      <c r="G263" s="768"/>
    </row>
    <row r="264" spans="1:7" s="342" customFormat="1">
      <c r="A264" s="767"/>
      <c r="B264" s="767"/>
      <c r="C264" s="767"/>
      <c r="D264" s="767"/>
      <c r="E264" s="280"/>
      <c r="F264" s="280"/>
      <c r="G264" s="768"/>
    </row>
    <row r="265" spans="1:7" s="342" customFormat="1">
      <c r="A265" s="767"/>
      <c r="B265" s="767"/>
      <c r="C265" s="767"/>
      <c r="D265" s="767"/>
      <c r="E265" s="280"/>
      <c r="F265" s="280"/>
      <c r="G265" s="768"/>
    </row>
    <row r="266" spans="1:7" s="342" customFormat="1">
      <c r="A266" s="767"/>
      <c r="B266" s="767"/>
      <c r="C266" s="767"/>
      <c r="D266" s="767"/>
      <c r="E266" s="280"/>
      <c r="F266" s="280"/>
      <c r="G266" s="768"/>
    </row>
    <row r="267" spans="1:7" s="342" customFormat="1">
      <c r="A267" s="767"/>
      <c r="B267" s="767"/>
      <c r="C267" s="767"/>
      <c r="D267" s="767"/>
      <c r="E267" s="280"/>
      <c r="F267" s="280"/>
      <c r="G267" s="768"/>
    </row>
    <row r="268" spans="1:7" s="342" customFormat="1">
      <c r="A268" s="767"/>
      <c r="B268" s="767"/>
      <c r="C268" s="767"/>
      <c r="D268" s="767"/>
      <c r="E268" s="280"/>
      <c r="F268" s="280"/>
      <c r="G268" s="768"/>
    </row>
    <row r="269" spans="1:7" s="342" customFormat="1">
      <c r="A269" s="767"/>
      <c r="B269" s="767"/>
      <c r="C269" s="767"/>
      <c r="D269" s="767"/>
      <c r="E269" s="280"/>
      <c r="F269" s="280"/>
      <c r="G269" s="768"/>
    </row>
    <row r="270" spans="1:7" s="342" customFormat="1">
      <c r="A270" s="767"/>
      <c r="B270" s="767"/>
      <c r="C270" s="767"/>
      <c r="D270" s="767"/>
      <c r="E270" s="280"/>
      <c r="F270" s="280"/>
      <c r="G270" s="768"/>
    </row>
    <row r="271" spans="1:7" s="342" customFormat="1">
      <c r="A271" s="767"/>
      <c r="B271" s="767"/>
      <c r="C271" s="767"/>
      <c r="D271" s="767"/>
      <c r="E271" s="280"/>
      <c r="F271" s="280"/>
      <c r="G271" s="768"/>
    </row>
    <row r="272" spans="1:7" s="342" customFormat="1">
      <c r="A272" s="767"/>
      <c r="B272" s="767"/>
      <c r="C272" s="767"/>
      <c r="D272" s="767"/>
      <c r="E272" s="280"/>
      <c r="F272" s="280"/>
      <c r="G272" s="768"/>
    </row>
    <row r="273" spans="1:7" s="342" customFormat="1">
      <c r="A273" s="767"/>
      <c r="B273" s="767"/>
      <c r="C273" s="767"/>
      <c r="D273" s="767"/>
      <c r="E273" s="280"/>
      <c r="F273" s="280"/>
      <c r="G273" s="768"/>
    </row>
    <row r="274" spans="1:7" s="342" customFormat="1">
      <c r="A274" s="767"/>
      <c r="B274" s="767"/>
      <c r="C274" s="767"/>
      <c r="D274" s="767"/>
      <c r="E274" s="280"/>
      <c r="F274" s="280"/>
      <c r="G274" s="768"/>
    </row>
    <row r="275" spans="1:7" s="342" customFormat="1">
      <c r="A275" s="767"/>
      <c r="B275" s="767"/>
      <c r="C275" s="767"/>
      <c r="D275" s="767"/>
      <c r="E275" s="280"/>
      <c r="F275" s="280"/>
      <c r="G275" s="768"/>
    </row>
    <row r="276" spans="1:7" s="342" customFormat="1">
      <c r="A276" s="767"/>
      <c r="B276" s="767"/>
      <c r="C276" s="767"/>
      <c r="D276" s="767"/>
      <c r="E276" s="280"/>
      <c r="F276" s="280"/>
      <c r="G276" s="768"/>
    </row>
    <row r="277" spans="1:7" s="342" customFormat="1">
      <c r="A277" s="767"/>
      <c r="B277" s="767"/>
      <c r="C277" s="767"/>
      <c r="D277" s="767"/>
      <c r="E277" s="280"/>
      <c r="F277" s="280"/>
      <c r="G277" s="768"/>
    </row>
    <row r="278" spans="1:7" s="342" customFormat="1">
      <c r="A278" s="767"/>
      <c r="B278" s="767"/>
      <c r="C278" s="767"/>
      <c r="D278" s="767"/>
      <c r="E278" s="280"/>
      <c r="F278" s="280"/>
      <c r="G278" s="768"/>
    </row>
    <row r="279" spans="1:7" s="342" customFormat="1">
      <c r="A279" s="767"/>
      <c r="B279" s="767"/>
      <c r="C279" s="767"/>
      <c r="D279" s="767"/>
      <c r="E279" s="280"/>
      <c r="F279" s="280"/>
      <c r="G279" s="768"/>
    </row>
    <row r="280" spans="1:7" s="342" customFormat="1">
      <c r="A280" s="767"/>
      <c r="B280" s="767"/>
      <c r="C280" s="767"/>
      <c r="D280" s="767"/>
      <c r="E280" s="280"/>
      <c r="F280" s="280"/>
      <c r="G280" s="768"/>
    </row>
    <row r="281" spans="1:7" s="342" customFormat="1">
      <c r="A281" s="767"/>
      <c r="B281" s="767"/>
      <c r="C281" s="767"/>
      <c r="D281" s="767"/>
      <c r="E281" s="280"/>
      <c r="F281" s="280"/>
      <c r="G281" s="768"/>
    </row>
    <row r="282" spans="1:7" s="342" customFormat="1">
      <c r="A282" s="767"/>
      <c r="B282" s="767"/>
      <c r="C282" s="767"/>
      <c r="D282" s="767"/>
      <c r="E282" s="280"/>
      <c r="F282" s="280"/>
      <c r="G282" s="768"/>
    </row>
    <row r="283" spans="1:7" s="342" customFormat="1">
      <c r="A283" s="767"/>
      <c r="B283" s="767"/>
      <c r="C283" s="767"/>
      <c r="D283" s="767"/>
      <c r="E283" s="280"/>
      <c r="F283" s="280"/>
      <c r="G283" s="768"/>
    </row>
    <row r="284" spans="1:7" s="342" customFormat="1">
      <c r="A284" s="767"/>
      <c r="B284" s="767"/>
      <c r="C284" s="767"/>
      <c r="D284" s="767"/>
      <c r="E284" s="280"/>
      <c r="F284" s="280"/>
      <c r="G284" s="768"/>
    </row>
    <row r="285" spans="1:7" s="342" customFormat="1">
      <c r="A285" s="767"/>
      <c r="B285" s="767"/>
      <c r="C285" s="767"/>
      <c r="D285" s="767"/>
      <c r="E285" s="280"/>
      <c r="F285" s="280"/>
      <c r="G285" s="768"/>
    </row>
    <row r="286" spans="1:7" s="342" customFormat="1">
      <c r="A286" s="767"/>
      <c r="B286" s="767"/>
      <c r="C286" s="767"/>
      <c r="D286" s="767"/>
      <c r="E286" s="280"/>
      <c r="F286" s="280"/>
      <c r="G286" s="768"/>
    </row>
    <row r="287" spans="1:7" s="342" customFormat="1">
      <c r="A287" s="767"/>
      <c r="B287" s="767"/>
      <c r="C287" s="767"/>
      <c r="D287" s="767"/>
      <c r="E287" s="280"/>
      <c r="F287" s="280"/>
      <c r="G287" s="768"/>
    </row>
    <row r="288" spans="1:7" s="342" customFormat="1">
      <c r="A288" s="767"/>
      <c r="B288" s="767"/>
      <c r="C288" s="767"/>
      <c r="D288" s="767"/>
      <c r="E288" s="280"/>
      <c r="F288" s="280"/>
      <c r="G288" s="768"/>
    </row>
    <row r="289" spans="1:7" s="342" customFormat="1">
      <c r="A289" s="767"/>
      <c r="B289" s="767"/>
      <c r="C289" s="767"/>
      <c r="D289" s="767"/>
      <c r="E289" s="280"/>
      <c r="F289" s="280"/>
      <c r="G289" s="768"/>
    </row>
    <row r="290" spans="1:7" s="342" customFormat="1">
      <c r="A290" s="767"/>
      <c r="B290" s="767"/>
      <c r="C290" s="767"/>
      <c r="D290" s="767"/>
      <c r="E290" s="280"/>
      <c r="F290" s="280"/>
      <c r="G290" s="768"/>
    </row>
    <row r="291" spans="1:7" s="342" customFormat="1">
      <c r="A291" s="767"/>
      <c r="B291" s="767"/>
      <c r="C291" s="767"/>
      <c r="D291" s="767"/>
      <c r="E291" s="280"/>
      <c r="F291" s="280"/>
      <c r="G291" s="768"/>
    </row>
    <row r="292" spans="1:7" s="342" customFormat="1">
      <c r="A292" s="767"/>
      <c r="B292" s="767"/>
      <c r="C292" s="767"/>
      <c r="D292" s="767"/>
      <c r="E292" s="280"/>
      <c r="F292" s="280"/>
      <c r="G292" s="768"/>
    </row>
    <row r="293" spans="1:7" s="342" customFormat="1">
      <c r="A293" s="767"/>
      <c r="B293" s="767"/>
      <c r="C293" s="767"/>
      <c r="D293" s="767"/>
      <c r="E293" s="280"/>
      <c r="F293" s="280"/>
      <c r="G293" s="768"/>
    </row>
    <row r="294" spans="1:7" s="342" customFormat="1">
      <c r="A294" s="767"/>
      <c r="B294" s="767"/>
      <c r="C294" s="767"/>
      <c r="D294" s="767"/>
      <c r="E294" s="280"/>
      <c r="F294" s="280"/>
      <c r="G294" s="768"/>
    </row>
    <row r="295" spans="1:7" s="342" customFormat="1">
      <c r="A295" s="767"/>
      <c r="B295" s="767"/>
      <c r="C295" s="767"/>
      <c r="D295" s="767"/>
      <c r="E295" s="280"/>
      <c r="F295" s="280"/>
      <c r="G295" s="768"/>
    </row>
    <row r="296" spans="1:7" s="342" customFormat="1">
      <c r="A296" s="767"/>
      <c r="B296" s="767"/>
      <c r="C296" s="767"/>
      <c r="D296" s="767"/>
      <c r="E296" s="280"/>
      <c r="F296" s="280"/>
      <c r="G296" s="768"/>
    </row>
    <row r="297" spans="1:7" s="342" customFormat="1">
      <c r="A297" s="767"/>
      <c r="B297" s="767"/>
      <c r="C297" s="767"/>
      <c r="D297" s="767"/>
      <c r="E297" s="280"/>
      <c r="F297" s="280"/>
      <c r="G297" s="768"/>
    </row>
    <row r="298" spans="1:7" s="342" customFormat="1">
      <c r="A298" s="767"/>
      <c r="B298" s="767"/>
      <c r="C298" s="767"/>
      <c r="D298" s="767"/>
      <c r="E298" s="280"/>
      <c r="F298" s="280"/>
      <c r="G298" s="768"/>
    </row>
    <row r="299" spans="1:7" s="342" customFormat="1">
      <c r="A299" s="767"/>
      <c r="B299" s="767"/>
      <c r="C299" s="767"/>
      <c r="D299" s="767"/>
      <c r="E299" s="280"/>
      <c r="F299" s="280"/>
      <c r="G299" s="768"/>
    </row>
    <row r="300" spans="1:7" s="342" customFormat="1">
      <c r="A300" s="767"/>
      <c r="B300" s="767"/>
      <c r="C300" s="767"/>
      <c r="D300" s="767"/>
      <c r="E300" s="280"/>
      <c r="F300" s="280"/>
      <c r="G300" s="768"/>
    </row>
    <row r="301" spans="1:7" s="342" customFormat="1">
      <c r="A301" s="767"/>
      <c r="B301" s="767"/>
      <c r="C301" s="767"/>
      <c r="D301" s="767"/>
      <c r="E301" s="280"/>
      <c r="F301" s="280"/>
      <c r="G301" s="768"/>
    </row>
    <row r="302" spans="1:7" s="342" customFormat="1">
      <c r="A302" s="767"/>
      <c r="B302" s="767"/>
      <c r="C302" s="767"/>
      <c r="D302" s="767"/>
      <c r="E302" s="280"/>
      <c r="F302" s="280"/>
      <c r="G302" s="768"/>
    </row>
    <row r="303" spans="1:7" s="342" customFormat="1">
      <c r="A303" s="767"/>
      <c r="B303" s="767"/>
      <c r="C303" s="767"/>
      <c r="D303" s="767"/>
      <c r="E303" s="280"/>
      <c r="F303" s="280"/>
      <c r="G303" s="768"/>
    </row>
    <row r="304" spans="1:7" s="342" customFormat="1">
      <c r="A304" s="767"/>
      <c r="B304" s="767"/>
      <c r="C304" s="767"/>
      <c r="D304" s="767"/>
      <c r="E304" s="280"/>
      <c r="F304" s="280"/>
      <c r="G304" s="768"/>
    </row>
    <row r="305" spans="1:7" s="342" customFormat="1">
      <c r="A305" s="767"/>
      <c r="B305" s="767"/>
      <c r="C305" s="767"/>
      <c r="D305" s="767"/>
      <c r="E305" s="280"/>
      <c r="F305" s="280"/>
      <c r="G305" s="768"/>
    </row>
    <row r="306" spans="1:7" s="342" customFormat="1">
      <c r="A306" s="767"/>
      <c r="B306" s="767"/>
      <c r="C306" s="767"/>
      <c r="D306" s="767"/>
      <c r="E306" s="280"/>
      <c r="F306" s="280"/>
      <c r="G306" s="768"/>
    </row>
    <row r="307" spans="1:7" s="342" customFormat="1">
      <c r="A307" s="767"/>
      <c r="B307" s="767"/>
      <c r="C307" s="767"/>
      <c r="D307" s="767"/>
      <c r="E307" s="280"/>
      <c r="F307" s="280"/>
      <c r="G307" s="768"/>
    </row>
    <row r="308" spans="1:7" s="342" customFormat="1">
      <c r="A308" s="767"/>
      <c r="B308" s="767"/>
      <c r="C308" s="767"/>
      <c r="D308" s="767"/>
      <c r="E308" s="280"/>
      <c r="F308" s="280"/>
      <c r="G308" s="768"/>
    </row>
    <row r="309" spans="1:7" s="342" customFormat="1">
      <c r="A309" s="767"/>
      <c r="B309" s="767"/>
      <c r="C309" s="767"/>
      <c r="D309" s="767"/>
      <c r="E309" s="280"/>
      <c r="F309" s="280"/>
      <c r="G309" s="768"/>
    </row>
    <row r="310" spans="1:7" s="342" customFormat="1">
      <c r="A310" s="767"/>
      <c r="B310" s="767"/>
      <c r="C310" s="767"/>
      <c r="D310" s="767"/>
      <c r="E310" s="280"/>
      <c r="F310" s="280"/>
      <c r="G310" s="768"/>
    </row>
    <row r="311" spans="1:7" s="342" customFormat="1">
      <c r="A311" s="767"/>
      <c r="B311" s="767"/>
      <c r="C311" s="767"/>
      <c r="D311" s="767"/>
      <c r="E311" s="280"/>
      <c r="F311" s="280"/>
      <c r="G311" s="768"/>
    </row>
    <row r="312" spans="1:7" s="342" customFormat="1">
      <c r="A312" s="767"/>
      <c r="B312" s="767"/>
      <c r="C312" s="767"/>
      <c r="D312" s="767"/>
      <c r="E312" s="280"/>
      <c r="F312" s="280"/>
      <c r="G312" s="768"/>
    </row>
    <row r="313" spans="1:7" s="342" customFormat="1">
      <c r="A313" s="767"/>
      <c r="B313" s="767"/>
      <c r="C313" s="767"/>
      <c r="D313" s="767"/>
      <c r="E313" s="280"/>
      <c r="F313" s="280"/>
      <c r="G313" s="768"/>
    </row>
    <row r="314" spans="1:7" s="342" customFormat="1">
      <c r="A314" s="767"/>
      <c r="B314" s="767"/>
      <c r="C314" s="767"/>
      <c r="D314" s="767"/>
      <c r="E314" s="280"/>
      <c r="F314" s="280"/>
      <c r="G314" s="768"/>
    </row>
    <row r="315" spans="1:7" s="342" customFormat="1">
      <c r="A315" s="767"/>
      <c r="B315" s="767"/>
      <c r="C315" s="767"/>
      <c r="D315" s="767"/>
      <c r="E315" s="280"/>
      <c r="F315" s="280"/>
      <c r="G315" s="768"/>
    </row>
    <row r="316" spans="1:7" s="342" customFormat="1">
      <c r="A316" s="767"/>
      <c r="B316" s="767"/>
      <c r="C316" s="767"/>
      <c r="D316" s="767"/>
      <c r="E316" s="280"/>
      <c r="F316" s="280"/>
      <c r="G316" s="768"/>
    </row>
    <row r="317" spans="1:7" s="342" customFormat="1">
      <c r="A317" s="767"/>
      <c r="B317" s="767"/>
      <c r="C317" s="767"/>
      <c r="D317" s="767"/>
      <c r="E317" s="280"/>
      <c r="F317" s="280"/>
      <c r="G317" s="768"/>
    </row>
    <row r="318" spans="1:7" s="342" customFormat="1">
      <c r="A318" s="767"/>
      <c r="B318" s="767"/>
      <c r="C318" s="767"/>
      <c r="D318" s="767"/>
      <c r="E318" s="280"/>
      <c r="F318" s="280"/>
      <c r="G318" s="768"/>
    </row>
    <row r="319" spans="1:7" s="342" customFormat="1">
      <c r="A319" s="767"/>
      <c r="B319" s="767"/>
      <c r="C319" s="767"/>
      <c r="D319" s="767"/>
      <c r="E319" s="280"/>
      <c r="F319" s="280"/>
      <c r="G319" s="768"/>
    </row>
    <row r="320" spans="1:7" s="342" customFormat="1">
      <c r="A320" s="767"/>
      <c r="B320" s="767"/>
      <c r="C320" s="767"/>
      <c r="D320" s="767"/>
      <c r="E320" s="280"/>
      <c r="F320" s="280"/>
      <c r="G320" s="768"/>
    </row>
    <row r="321" spans="1:7" s="342" customFormat="1">
      <c r="A321" s="767"/>
      <c r="B321" s="767"/>
      <c r="C321" s="767"/>
      <c r="D321" s="767"/>
      <c r="E321" s="280"/>
      <c r="F321" s="280"/>
      <c r="G321" s="768"/>
    </row>
    <row r="322" spans="1:7" s="342" customFormat="1">
      <c r="A322" s="767"/>
      <c r="B322" s="767"/>
      <c r="C322" s="767"/>
      <c r="D322" s="767"/>
      <c r="E322" s="280"/>
      <c r="F322" s="280"/>
      <c r="G322" s="768"/>
    </row>
    <row r="323" spans="1:7" s="342" customFormat="1">
      <c r="A323" s="767"/>
      <c r="B323" s="767"/>
      <c r="C323" s="767"/>
      <c r="D323" s="767"/>
      <c r="E323" s="280"/>
      <c r="F323" s="280"/>
      <c r="G323" s="768"/>
    </row>
    <row r="324" spans="1:7" s="342" customFormat="1">
      <c r="A324" s="767"/>
      <c r="B324" s="767"/>
      <c r="C324" s="767"/>
      <c r="D324" s="767"/>
      <c r="E324" s="280"/>
      <c r="F324" s="280"/>
      <c r="G324" s="768"/>
    </row>
    <row r="325" spans="1:7" s="342" customFormat="1">
      <c r="A325" s="767"/>
      <c r="B325" s="767"/>
      <c r="C325" s="767"/>
      <c r="D325" s="767"/>
      <c r="E325" s="280"/>
      <c r="F325" s="280"/>
      <c r="G325" s="768"/>
    </row>
    <row r="326" spans="1:7" s="342" customFormat="1">
      <c r="A326" s="767"/>
      <c r="B326" s="767"/>
      <c r="C326" s="767"/>
      <c r="D326" s="767"/>
      <c r="E326" s="280"/>
      <c r="F326" s="280"/>
      <c r="G326" s="768"/>
    </row>
    <row r="327" spans="1:7" s="342" customFormat="1">
      <c r="A327" s="767"/>
      <c r="B327" s="767"/>
      <c r="C327" s="767"/>
      <c r="D327" s="767"/>
      <c r="E327" s="280"/>
      <c r="F327" s="280"/>
      <c r="G327" s="768"/>
    </row>
    <row r="328" spans="1:7" s="342" customFormat="1">
      <c r="A328" s="767"/>
      <c r="B328" s="767"/>
      <c r="C328" s="767"/>
      <c r="D328" s="767"/>
      <c r="E328" s="280"/>
      <c r="F328" s="280"/>
      <c r="G328" s="768"/>
    </row>
    <row r="329" spans="1:7" s="342" customFormat="1">
      <c r="A329" s="767"/>
      <c r="B329" s="767"/>
      <c r="C329" s="767"/>
      <c r="D329" s="767"/>
      <c r="E329" s="280"/>
      <c r="F329" s="280"/>
      <c r="G329" s="768"/>
    </row>
    <row r="330" spans="1:7" s="342" customFormat="1">
      <c r="A330" s="767"/>
      <c r="B330" s="767"/>
      <c r="C330" s="767"/>
      <c r="D330" s="767"/>
      <c r="E330" s="280"/>
      <c r="F330" s="280"/>
      <c r="G330" s="768"/>
    </row>
    <row r="331" spans="1:7" s="342" customFormat="1">
      <c r="A331" s="767"/>
      <c r="B331" s="767"/>
      <c r="C331" s="767"/>
      <c r="D331" s="767"/>
      <c r="E331" s="280"/>
      <c r="F331" s="280"/>
      <c r="G331" s="768"/>
    </row>
    <row r="332" spans="1:7" s="342" customFormat="1">
      <c r="A332" s="767"/>
      <c r="B332" s="767"/>
      <c r="C332" s="767"/>
      <c r="D332" s="767"/>
      <c r="E332" s="280"/>
      <c r="F332" s="280"/>
      <c r="G332" s="768"/>
    </row>
    <row r="333" spans="1:7" s="342" customFormat="1">
      <c r="A333" s="767"/>
      <c r="B333" s="767"/>
      <c r="C333" s="767"/>
      <c r="D333" s="767"/>
      <c r="E333" s="280"/>
      <c r="F333" s="280"/>
      <c r="G333" s="768"/>
    </row>
    <row r="334" spans="1:7" s="342" customFormat="1">
      <c r="A334" s="767"/>
      <c r="B334" s="767"/>
      <c r="C334" s="767"/>
      <c r="D334" s="767"/>
      <c r="E334" s="280"/>
      <c r="F334" s="280"/>
      <c r="G334" s="768"/>
    </row>
    <row r="335" spans="1:7" s="342" customFormat="1">
      <c r="A335" s="767"/>
      <c r="B335" s="767"/>
      <c r="C335" s="767"/>
      <c r="D335" s="767"/>
      <c r="E335" s="280"/>
      <c r="F335" s="280"/>
      <c r="G335" s="768"/>
    </row>
    <row r="336" spans="1:7" s="342" customFormat="1">
      <c r="A336" s="767"/>
      <c r="B336" s="767"/>
      <c r="C336" s="767"/>
      <c r="D336" s="767"/>
      <c r="E336" s="280"/>
      <c r="F336" s="280"/>
      <c r="G336" s="768"/>
    </row>
    <row r="337" spans="1:7" s="342" customFormat="1">
      <c r="A337" s="767"/>
      <c r="B337" s="767"/>
      <c r="C337" s="767"/>
      <c r="D337" s="767"/>
      <c r="E337" s="280"/>
      <c r="F337" s="280"/>
      <c r="G337" s="768"/>
    </row>
    <row r="338" spans="1:7" s="342" customFormat="1">
      <c r="A338" s="767"/>
      <c r="B338" s="767"/>
      <c r="C338" s="767"/>
      <c r="D338" s="767"/>
      <c r="E338" s="280"/>
      <c r="F338" s="280"/>
      <c r="G338" s="768"/>
    </row>
    <row r="339" spans="1:7" s="342" customFormat="1">
      <c r="A339" s="767"/>
      <c r="B339" s="767"/>
      <c r="C339" s="767"/>
      <c r="D339" s="767"/>
      <c r="E339" s="280"/>
      <c r="F339" s="280"/>
      <c r="G339" s="768"/>
    </row>
    <row r="340" spans="1:7" s="342" customFormat="1">
      <c r="A340" s="767"/>
      <c r="B340" s="767"/>
      <c r="C340" s="767"/>
      <c r="D340" s="767"/>
      <c r="E340" s="280"/>
      <c r="F340" s="280"/>
      <c r="G340" s="768"/>
    </row>
    <row r="341" spans="1:7" s="342" customFormat="1">
      <c r="A341" s="767"/>
      <c r="B341" s="767"/>
      <c r="C341" s="767"/>
      <c r="D341" s="767"/>
      <c r="E341" s="280"/>
      <c r="F341" s="280"/>
      <c r="G341" s="768"/>
    </row>
    <row r="342" spans="1:7" s="342" customFormat="1">
      <c r="A342" s="767"/>
      <c r="B342" s="767"/>
      <c r="C342" s="767"/>
      <c r="D342" s="767"/>
      <c r="E342" s="280"/>
      <c r="F342" s="280"/>
      <c r="G342" s="768"/>
    </row>
    <row r="343" spans="1:7" s="342" customFormat="1">
      <c r="A343" s="767"/>
      <c r="B343" s="767"/>
      <c r="C343" s="767"/>
      <c r="D343" s="767"/>
      <c r="E343" s="280"/>
      <c r="F343" s="280"/>
      <c r="G343" s="768"/>
    </row>
    <row r="344" spans="1:7">
      <c r="E344" s="280"/>
      <c r="F344" s="725"/>
    </row>
    <row r="345" spans="1:7">
      <c r="E345" s="280"/>
      <c r="F345" s="725"/>
    </row>
    <row r="346" spans="1:7">
      <c r="E346" s="280"/>
      <c r="F346" s="725"/>
    </row>
    <row r="347" spans="1:7">
      <c r="E347" s="280"/>
      <c r="F347" s="725"/>
    </row>
    <row r="348" spans="1:7">
      <c r="E348" s="280"/>
      <c r="F348" s="725"/>
    </row>
    <row r="349" spans="1:7">
      <c r="E349" s="280"/>
      <c r="F349" s="725"/>
    </row>
    <row r="350" spans="1:7">
      <c r="E350" s="280"/>
      <c r="F350" s="725"/>
    </row>
    <row r="351" spans="1:7">
      <c r="E351" s="280"/>
      <c r="F351" s="725"/>
    </row>
    <row r="352" spans="1:7">
      <c r="E352" s="280"/>
      <c r="F352" s="725"/>
    </row>
    <row r="353" spans="5:6">
      <c r="E353" s="280"/>
      <c r="F353" s="725"/>
    </row>
    <row r="354" spans="5:6">
      <c r="E354" s="280"/>
      <c r="F354" s="725"/>
    </row>
    <row r="355" spans="5:6">
      <c r="E355" s="280"/>
      <c r="F355" s="725"/>
    </row>
    <row r="356" spans="5:6">
      <c r="E356" s="280"/>
      <c r="F356" s="725"/>
    </row>
    <row r="357" spans="5:6">
      <c r="E357" s="280"/>
      <c r="F357" s="725"/>
    </row>
    <row r="358" spans="5:6">
      <c r="E358" s="280"/>
      <c r="F358" s="725"/>
    </row>
    <row r="359" spans="5:6">
      <c r="E359" s="280"/>
      <c r="F359" s="725"/>
    </row>
    <row r="360" spans="5:6">
      <c r="E360" s="280"/>
      <c r="F360" s="725"/>
    </row>
    <row r="361" spans="5:6">
      <c r="E361" s="280"/>
      <c r="F361" s="725"/>
    </row>
    <row r="362" spans="5:6">
      <c r="E362" s="280"/>
      <c r="F362" s="725"/>
    </row>
    <row r="363" spans="5:6">
      <c r="E363" s="280"/>
      <c r="F363" s="725"/>
    </row>
    <row r="364" spans="5:6">
      <c r="E364" s="280"/>
      <c r="F364" s="725"/>
    </row>
    <row r="365" spans="5:6">
      <c r="E365" s="280"/>
      <c r="F365" s="725"/>
    </row>
    <row r="366" spans="5:6">
      <c r="E366" s="280"/>
      <c r="F366" s="725"/>
    </row>
    <row r="367" spans="5:6">
      <c r="E367" s="280"/>
      <c r="F367" s="725"/>
    </row>
    <row r="368" spans="5:6">
      <c r="E368" s="280"/>
      <c r="F368" s="725"/>
    </row>
    <row r="369" spans="5:6">
      <c r="E369" s="280"/>
      <c r="F369" s="725"/>
    </row>
    <row r="370" spans="5:6">
      <c r="E370" s="280"/>
      <c r="F370" s="725"/>
    </row>
    <row r="371" spans="5:6">
      <c r="E371" s="280"/>
      <c r="F371" s="725"/>
    </row>
    <row r="372" spans="5:6">
      <c r="E372" s="280"/>
      <c r="F372" s="725"/>
    </row>
    <row r="373" spans="5:6">
      <c r="E373" s="280"/>
      <c r="F373" s="725"/>
    </row>
    <row r="374" spans="5:6">
      <c r="E374" s="280"/>
      <c r="F374" s="725"/>
    </row>
    <row r="375" spans="5:6">
      <c r="E375" s="280"/>
      <c r="F375" s="725"/>
    </row>
    <row r="376" spans="5:6">
      <c r="E376" s="280"/>
      <c r="F376" s="725"/>
    </row>
    <row r="377" spans="5:6">
      <c r="E377" s="280"/>
      <c r="F377" s="725"/>
    </row>
    <row r="378" spans="5:6">
      <c r="E378" s="280"/>
      <c r="F378" s="725"/>
    </row>
    <row r="379" spans="5:6">
      <c r="E379" s="280"/>
      <c r="F379" s="725"/>
    </row>
    <row r="380" spans="5:6">
      <c r="E380" s="280"/>
      <c r="F380" s="725"/>
    </row>
    <row r="381" spans="5:6">
      <c r="E381" s="280"/>
      <c r="F381" s="725"/>
    </row>
    <row r="382" spans="5:6">
      <c r="E382" s="280"/>
      <c r="F382" s="725"/>
    </row>
    <row r="383" spans="5:6">
      <c r="E383" s="280"/>
      <c r="F383" s="725"/>
    </row>
    <row r="384" spans="5:6">
      <c r="E384" s="280"/>
      <c r="F384" s="725"/>
    </row>
    <row r="385" spans="5:6">
      <c r="E385" s="280"/>
      <c r="F385" s="725"/>
    </row>
    <row r="386" spans="5:6">
      <c r="E386" s="280"/>
      <c r="F386" s="725"/>
    </row>
    <row r="387" spans="5:6">
      <c r="E387" s="280"/>
      <c r="F387" s="725"/>
    </row>
    <row r="388" spans="5:6">
      <c r="E388" s="280"/>
      <c r="F388" s="725"/>
    </row>
    <row r="389" spans="5:6">
      <c r="E389" s="280"/>
      <c r="F389" s="725"/>
    </row>
    <row r="390" spans="5:6">
      <c r="E390" s="280"/>
      <c r="F390" s="725"/>
    </row>
    <row r="391" spans="5:6">
      <c r="E391" s="280"/>
      <c r="F391" s="725"/>
    </row>
    <row r="392" spans="5:6">
      <c r="E392" s="280"/>
      <c r="F392" s="725"/>
    </row>
    <row r="393" spans="5:6">
      <c r="E393" s="280"/>
      <c r="F393" s="725"/>
    </row>
    <row r="394" spans="5:6">
      <c r="E394" s="280"/>
      <c r="F394" s="725"/>
    </row>
    <row r="395" spans="5:6">
      <c r="E395" s="280"/>
      <c r="F395" s="725"/>
    </row>
    <row r="396" spans="5:6">
      <c r="E396" s="280"/>
      <c r="F396" s="725"/>
    </row>
    <row r="397" spans="5:6">
      <c r="E397" s="280"/>
      <c r="F397" s="725"/>
    </row>
    <row r="398" spans="5:6">
      <c r="E398" s="280"/>
      <c r="F398" s="725"/>
    </row>
    <row r="399" spans="5:6">
      <c r="E399" s="280"/>
      <c r="F399" s="725"/>
    </row>
    <row r="400" spans="5:6">
      <c r="E400" s="280"/>
      <c r="F400" s="725"/>
    </row>
    <row r="401" spans="5:6">
      <c r="E401" s="280"/>
      <c r="F401" s="725"/>
    </row>
    <row r="402" spans="5:6">
      <c r="E402" s="280"/>
      <c r="F402" s="725"/>
    </row>
    <row r="403" spans="5:6">
      <c r="E403" s="280"/>
      <c r="F403" s="725"/>
    </row>
    <row r="404" spans="5:6">
      <c r="E404" s="280"/>
      <c r="F404" s="725"/>
    </row>
    <row r="405" spans="5:6">
      <c r="E405" s="280"/>
      <c r="F405" s="725"/>
    </row>
    <row r="406" spans="5:6">
      <c r="E406" s="280"/>
      <c r="F406" s="725"/>
    </row>
    <row r="407" spans="5:6">
      <c r="E407" s="280"/>
      <c r="F407" s="725"/>
    </row>
    <row r="408" spans="5:6">
      <c r="E408" s="280"/>
      <c r="F408" s="725"/>
    </row>
    <row r="409" spans="5:6">
      <c r="E409" s="280"/>
      <c r="F409" s="725"/>
    </row>
    <row r="410" spans="5:6">
      <c r="E410" s="280"/>
      <c r="F410" s="725"/>
    </row>
    <row r="411" spans="5:6">
      <c r="E411" s="280"/>
      <c r="F411" s="725"/>
    </row>
    <row r="412" spans="5:6">
      <c r="E412" s="280"/>
      <c r="F412" s="725"/>
    </row>
    <row r="413" spans="5:6">
      <c r="E413" s="280"/>
      <c r="F413" s="725"/>
    </row>
    <row r="414" spans="5:6">
      <c r="E414" s="280"/>
      <c r="F414" s="725"/>
    </row>
    <row r="415" spans="5:6">
      <c r="E415" s="280"/>
      <c r="F415" s="725"/>
    </row>
    <row r="416" spans="5:6">
      <c r="E416" s="280"/>
      <c r="F416" s="725"/>
    </row>
    <row r="417" spans="5:6">
      <c r="E417" s="280"/>
      <c r="F417" s="725"/>
    </row>
    <row r="418" spans="5:6">
      <c r="E418" s="280"/>
      <c r="F418" s="725"/>
    </row>
    <row r="419" spans="5:6">
      <c r="E419" s="280"/>
      <c r="F419" s="725"/>
    </row>
    <row r="420" spans="5:6">
      <c r="E420" s="280"/>
      <c r="F420" s="725"/>
    </row>
    <row r="421" spans="5:6">
      <c r="E421" s="280"/>
      <c r="F421" s="725"/>
    </row>
    <row r="422" spans="5:6">
      <c r="E422" s="280"/>
      <c r="F422" s="725"/>
    </row>
    <row r="423" spans="5:6">
      <c r="E423" s="280"/>
      <c r="F423" s="725"/>
    </row>
    <row r="424" spans="5:6">
      <c r="E424" s="280"/>
      <c r="F424" s="725"/>
    </row>
    <row r="425" spans="5:6">
      <c r="E425" s="280"/>
      <c r="F425" s="725"/>
    </row>
    <row r="426" spans="5:6">
      <c r="E426" s="280"/>
      <c r="F426" s="725"/>
    </row>
    <row r="427" spans="5:6">
      <c r="E427" s="280"/>
      <c r="F427" s="725"/>
    </row>
    <row r="428" spans="5:6">
      <c r="E428" s="280"/>
      <c r="F428" s="725"/>
    </row>
    <row r="429" spans="5:6">
      <c r="E429" s="280"/>
      <c r="F429" s="725"/>
    </row>
    <row r="430" spans="5:6">
      <c r="E430" s="280"/>
      <c r="F430" s="725"/>
    </row>
    <row r="431" spans="5:6">
      <c r="E431" s="280"/>
      <c r="F431" s="725"/>
    </row>
    <row r="432" spans="5:6">
      <c r="E432" s="280"/>
      <c r="F432" s="725"/>
    </row>
    <row r="433" spans="5:6">
      <c r="E433" s="280"/>
      <c r="F433" s="725"/>
    </row>
    <row r="434" spans="5:6">
      <c r="E434" s="280"/>
      <c r="F434" s="725"/>
    </row>
    <row r="435" spans="5:6">
      <c r="E435" s="280"/>
      <c r="F435" s="725"/>
    </row>
    <row r="436" spans="5:6">
      <c r="E436" s="280"/>
      <c r="F436" s="725"/>
    </row>
    <row r="437" spans="5:6">
      <c r="E437" s="280"/>
      <c r="F437" s="725"/>
    </row>
    <row r="438" spans="5:6">
      <c r="E438" s="280"/>
      <c r="F438" s="725"/>
    </row>
    <row r="439" spans="5:6">
      <c r="E439" s="280"/>
      <c r="F439" s="725"/>
    </row>
    <row r="440" spans="5:6">
      <c r="E440" s="280"/>
      <c r="F440" s="725"/>
    </row>
    <row r="441" spans="5:6">
      <c r="E441" s="280"/>
      <c r="F441" s="725"/>
    </row>
    <row r="442" spans="5:6">
      <c r="E442" s="280"/>
      <c r="F442" s="725"/>
    </row>
    <row r="443" spans="5:6">
      <c r="E443" s="280"/>
      <c r="F443" s="725"/>
    </row>
    <row r="444" spans="5:6">
      <c r="E444" s="280"/>
      <c r="F444" s="725"/>
    </row>
    <row r="445" spans="5:6">
      <c r="E445" s="280"/>
      <c r="F445" s="725"/>
    </row>
    <row r="446" spans="5:6">
      <c r="E446" s="280"/>
      <c r="F446" s="725"/>
    </row>
    <row r="447" spans="5:6">
      <c r="E447" s="280"/>
      <c r="F447" s="725"/>
    </row>
    <row r="448" spans="5:6">
      <c r="E448" s="280"/>
      <c r="F448" s="725"/>
    </row>
    <row r="449" spans="5:6">
      <c r="E449" s="280"/>
      <c r="F449" s="725"/>
    </row>
    <row r="450" spans="5:6">
      <c r="E450" s="280"/>
      <c r="F450" s="725"/>
    </row>
    <row r="451" spans="5:6">
      <c r="E451" s="280"/>
      <c r="F451" s="725"/>
    </row>
    <row r="452" spans="5:6">
      <c r="E452" s="280"/>
      <c r="F452" s="725"/>
    </row>
    <row r="453" spans="5:6">
      <c r="E453" s="280"/>
      <c r="F453" s="725"/>
    </row>
    <row r="454" spans="5:6">
      <c r="E454" s="280"/>
      <c r="F454" s="725"/>
    </row>
    <row r="455" spans="5:6">
      <c r="E455" s="280"/>
      <c r="F455" s="725"/>
    </row>
    <row r="456" spans="5:6">
      <c r="E456" s="280"/>
      <c r="F456" s="725"/>
    </row>
    <row r="457" spans="5:6">
      <c r="E457" s="280"/>
      <c r="F457" s="725"/>
    </row>
    <row r="458" spans="5:6">
      <c r="E458" s="280"/>
      <c r="F458" s="725"/>
    </row>
    <row r="459" spans="5:6">
      <c r="E459" s="280"/>
      <c r="F459" s="725"/>
    </row>
    <row r="460" spans="5:6">
      <c r="E460" s="280"/>
      <c r="F460" s="725"/>
    </row>
    <row r="461" spans="5:6">
      <c r="E461" s="280"/>
      <c r="F461" s="725"/>
    </row>
    <row r="462" spans="5:6">
      <c r="E462" s="280"/>
      <c r="F462" s="725"/>
    </row>
    <row r="463" spans="5:6">
      <c r="E463" s="280"/>
      <c r="F463" s="725"/>
    </row>
    <row r="464" spans="5:6">
      <c r="E464" s="280"/>
      <c r="F464" s="725"/>
    </row>
    <row r="465" spans="5:6">
      <c r="E465" s="280"/>
      <c r="F465" s="725"/>
    </row>
    <row r="466" spans="5:6">
      <c r="E466" s="280"/>
      <c r="F466" s="725"/>
    </row>
    <row r="467" spans="5:6">
      <c r="E467" s="280"/>
      <c r="F467" s="725"/>
    </row>
    <row r="468" spans="5:6">
      <c r="E468" s="280"/>
      <c r="F468" s="725"/>
    </row>
    <row r="469" spans="5:6">
      <c r="E469" s="280"/>
      <c r="F469" s="725"/>
    </row>
    <row r="470" spans="5:6">
      <c r="E470" s="280"/>
      <c r="F470" s="725"/>
    </row>
    <row r="471" spans="5:6">
      <c r="E471" s="280"/>
      <c r="F471" s="725"/>
    </row>
    <row r="472" spans="5:6">
      <c r="E472" s="280"/>
      <c r="F472" s="725"/>
    </row>
    <row r="473" spans="5:6">
      <c r="E473" s="280"/>
      <c r="F473" s="725"/>
    </row>
    <row r="474" spans="5:6">
      <c r="E474" s="280"/>
      <c r="F474" s="725"/>
    </row>
    <row r="475" spans="5:6">
      <c r="E475" s="280"/>
      <c r="F475" s="725"/>
    </row>
    <row r="476" spans="5:6">
      <c r="E476" s="280"/>
      <c r="F476" s="725"/>
    </row>
    <row r="477" spans="5:6">
      <c r="E477" s="280"/>
      <c r="F477" s="725"/>
    </row>
    <row r="478" spans="5:6">
      <c r="E478" s="280"/>
      <c r="F478" s="725"/>
    </row>
    <row r="479" spans="5:6">
      <c r="E479" s="280"/>
      <c r="F479" s="725"/>
    </row>
    <row r="480" spans="5:6">
      <c r="E480" s="280"/>
      <c r="F480" s="725"/>
    </row>
    <row r="481" spans="5:6">
      <c r="E481" s="280"/>
      <c r="F481" s="725"/>
    </row>
    <row r="482" spans="5:6">
      <c r="E482" s="280"/>
      <c r="F482" s="725"/>
    </row>
    <row r="483" spans="5:6">
      <c r="E483" s="280"/>
      <c r="F483" s="725"/>
    </row>
    <row r="484" spans="5:6">
      <c r="E484" s="280"/>
      <c r="F484" s="725"/>
    </row>
    <row r="485" spans="5:6">
      <c r="E485" s="280"/>
      <c r="F485" s="725"/>
    </row>
    <row r="486" spans="5:6">
      <c r="E486" s="280"/>
      <c r="F486" s="725"/>
    </row>
    <row r="487" spans="5:6">
      <c r="E487" s="280"/>
      <c r="F487" s="725"/>
    </row>
    <row r="488" spans="5:6">
      <c r="E488" s="280"/>
      <c r="F488" s="725"/>
    </row>
    <row r="489" spans="5:6">
      <c r="E489" s="280"/>
      <c r="F489" s="725"/>
    </row>
    <row r="490" spans="5:6">
      <c r="E490" s="280"/>
      <c r="F490" s="725"/>
    </row>
    <row r="491" spans="5:6">
      <c r="E491" s="280"/>
      <c r="F491" s="725"/>
    </row>
    <row r="492" spans="5:6">
      <c r="E492" s="280"/>
      <c r="F492" s="725"/>
    </row>
    <row r="493" spans="5:6">
      <c r="E493" s="280"/>
      <c r="F493" s="725"/>
    </row>
    <row r="494" spans="5:6">
      <c r="E494" s="280"/>
      <c r="F494" s="725"/>
    </row>
    <row r="495" spans="5:6">
      <c r="E495" s="280"/>
      <c r="F495" s="725"/>
    </row>
    <row r="496" spans="5:6">
      <c r="E496" s="280"/>
      <c r="F496" s="725"/>
    </row>
    <row r="497" spans="5:6">
      <c r="E497" s="280"/>
      <c r="F497" s="725"/>
    </row>
    <row r="498" spans="5:6">
      <c r="E498" s="280"/>
      <c r="F498" s="725"/>
    </row>
    <row r="499" spans="5:6">
      <c r="E499" s="280"/>
      <c r="F499" s="725"/>
    </row>
    <row r="500" spans="5:6">
      <c r="E500" s="280"/>
      <c r="F500" s="725"/>
    </row>
    <row r="501" spans="5:6">
      <c r="E501" s="280"/>
      <c r="F501" s="725"/>
    </row>
    <row r="502" spans="5:6">
      <c r="E502" s="280"/>
      <c r="F502" s="725"/>
    </row>
    <row r="503" spans="5:6">
      <c r="E503" s="280"/>
      <c r="F503" s="725"/>
    </row>
    <row r="504" spans="5:6">
      <c r="E504" s="280"/>
      <c r="F504" s="725"/>
    </row>
    <row r="505" spans="5:6">
      <c r="E505" s="280"/>
      <c r="F505" s="725"/>
    </row>
    <row r="506" spans="5:6">
      <c r="E506" s="280"/>
      <c r="F506" s="725"/>
    </row>
    <row r="507" spans="5:6">
      <c r="E507" s="280"/>
      <c r="F507" s="725"/>
    </row>
    <row r="508" spans="5:6">
      <c r="E508" s="280"/>
      <c r="F508" s="725"/>
    </row>
    <row r="509" spans="5:6">
      <c r="E509" s="280"/>
      <c r="F509" s="725"/>
    </row>
    <row r="510" spans="5:6">
      <c r="E510" s="280"/>
      <c r="F510" s="725"/>
    </row>
    <row r="511" spans="5:6">
      <c r="E511" s="280"/>
      <c r="F511" s="725"/>
    </row>
    <row r="512" spans="5:6">
      <c r="E512" s="280"/>
      <c r="F512" s="725"/>
    </row>
    <row r="513" spans="5:6">
      <c r="E513" s="280"/>
      <c r="F513" s="725"/>
    </row>
    <row r="514" spans="5:6">
      <c r="E514" s="280"/>
      <c r="F514" s="725"/>
    </row>
    <row r="515" spans="5:6">
      <c r="E515" s="280"/>
      <c r="F515" s="725"/>
    </row>
    <row r="516" spans="5:6">
      <c r="E516" s="280"/>
      <c r="F516" s="725"/>
    </row>
    <row r="517" spans="5:6">
      <c r="E517" s="280"/>
      <c r="F517" s="725"/>
    </row>
    <row r="518" spans="5:6">
      <c r="E518" s="280"/>
      <c r="F518" s="725"/>
    </row>
    <row r="519" spans="5:6">
      <c r="E519" s="280"/>
      <c r="F519" s="725"/>
    </row>
    <row r="520" spans="5:6">
      <c r="E520" s="280"/>
      <c r="F520" s="725"/>
    </row>
    <row r="521" spans="5:6">
      <c r="E521" s="280"/>
      <c r="F521" s="725"/>
    </row>
    <row r="522" spans="5:6">
      <c r="E522" s="280"/>
      <c r="F522" s="725"/>
    </row>
    <row r="523" spans="5:6">
      <c r="E523" s="280"/>
      <c r="F523" s="725"/>
    </row>
    <row r="524" spans="5:6">
      <c r="E524" s="280"/>
      <c r="F524" s="725"/>
    </row>
    <row r="525" spans="5:6">
      <c r="E525" s="280"/>
      <c r="F525" s="725"/>
    </row>
    <row r="526" spans="5:6">
      <c r="E526" s="280"/>
      <c r="F526" s="725"/>
    </row>
    <row r="527" spans="5:6">
      <c r="E527" s="280"/>
      <c r="F527" s="725"/>
    </row>
    <row r="528" spans="5:6">
      <c r="E528" s="280"/>
      <c r="F528" s="725"/>
    </row>
    <row r="529" spans="5:6">
      <c r="E529" s="280"/>
      <c r="F529" s="725"/>
    </row>
    <row r="530" spans="5:6">
      <c r="E530" s="280"/>
      <c r="F530" s="725"/>
    </row>
    <row r="531" spans="5:6">
      <c r="E531" s="280"/>
      <c r="F531" s="725"/>
    </row>
    <row r="532" spans="5:6">
      <c r="E532" s="280"/>
      <c r="F532" s="725"/>
    </row>
    <row r="533" spans="5:6">
      <c r="E533" s="280"/>
      <c r="F533" s="725"/>
    </row>
    <row r="534" spans="5:6">
      <c r="E534" s="280"/>
      <c r="F534" s="725"/>
    </row>
    <row r="535" spans="5:6">
      <c r="E535" s="280"/>
      <c r="F535" s="725"/>
    </row>
    <row r="536" spans="5:6">
      <c r="E536" s="280"/>
      <c r="F536" s="725"/>
    </row>
    <row r="537" spans="5:6">
      <c r="E537" s="280"/>
      <c r="F537" s="725"/>
    </row>
    <row r="538" spans="5:6">
      <c r="E538" s="280"/>
      <c r="F538" s="725"/>
    </row>
    <row r="539" spans="5:6">
      <c r="E539" s="280"/>
      <c r="F539" s="725"/>
    </row>
    <row r="540" spans="5:6">
      <c r="E540" s="280"/>
      <c r="F540" s="725"/>
    </row>
    <row r="541" spans="5:6">
      <c r="E541" s="280"/>
      <c r="F541" s="725"/>
    </row>
    <row r="542" spans="5:6">
      <c r="E542" s="280"/>
      <c r="F542" s="725"/>
    </row>
    <row r="543" spans="5:6">
      <c r="E543" s="280"/>
      <c r="F543" s="725"/>
    </row>
    <row r="544" spans="5:6">
      <c r="E544" s="280"/>
      <c r="F544" s="725"/>
    </row>
    <row r="545" spans="5:6">
      <c r="E545" s="280"/>
      <c r="F545" s="725"/>
    </row>
    <row r="546" spans="5:6">
      <c r="E546" s="280"/>
      <c r="F546" s="725"/>
    </row>
    <row r="547" spans="5:6">
      <c r="E547" s="280"/>
      <c r="F547" s="725"/>
    </row>
    <row r="548" spans="5:6">
      <c r="E548" s="280"/>
      <c r="F548" s="725"/>
    </row>
    <row r="549" spans="5:6">
      <c r="E549" s="280"/>
      <c r="F549" s="725"/>
    </row>
    <row r="550" spans="5:6">
      <c r="E550" s="280"/>
      <c r="F550" s="725"/>
    </row>
    <row r="551" spans="5:6">
      <c r="E551" s="280"/>
      <c r="F551" s="725"/>
    </row>
    <row r="552" spans="5:6">
      <c r="E552" s="280"/>
      <c r="F552" s="725"/>
    </row>
    <row r="553" spans="5:6">
      <c r="E553" s="280"/>
      <c r="F553" s="725"/>
    </row>
    <row r="554" spans="5:6">
      <c r="E554" s="280"/>
      <c r="F554" s="725"/>
    </row>
    <row r="555" spans="5:6">
      <c r="E555" s="280"/>
      <c r="F555" s="725"/>
    </row>
    <row r="556" spans="5:6">
      <c r="E556" s="280"/>
      <c r="F556" s="725"/>
    </row>
    <row r="557" spans="5:6">
      <c r="E557" s="280"/>
      <c r="F557" s="725"/>
    </row>
    <row r="558" spans="5:6">
      <c r="E558" s="280"/>
      <c r="F558" s="725"/>
    </row>
    <row r="559" spans="5:6">
      <c r="E559" s="280"/>
      <c r="F559" s="725"/>
    </row>
    <row r="560" spans="5:6">
      <c r="E560" s="280"/>
      <c r="F560" s="725"/>
    </row>
    <row r="561" spans="5:6">
      <c r="E561" s="280"/>
      <c r="F561" s="725"/>
    </row>
    <row r="562" spans="5:6">
      <c r="E562" s="280"/>
      <c r="F562" s="725"/>
    </row>
    <row r="563" spans="5:6">
      <c r="E563" s="280"/>
      <c r="F563" s="725"/>
    </row>
    <row r="564" spans="5:6">
      <c r="E564" s="280"/>
      <c r="F564" s="725"/>
    </row>
    <row r="565" spans="5:6">
      <c r="E565" s="280"/>
      <c r="F565" s="725"/>
    </row>
    <row r="566" spans="5:6">
      <c r="E566" s="280"/>
      <c r="F566" s="725"/>
    </row>
    <row r="567" spans="5:6">
      <c r="E567" s="280"/>
      <c r="F567" s="725"/>
    </row>
    <row r="568" spans="5:6">
      <c r="E568" s="280"/>
      <c r="F568" s="725"/>
    </row>
    <row r="569" spans="5:6">
      <c r="E569" s="280"/>
      <c r="F569" s="725"/>
    </row>
    <row r="570" spans="5:6">
      <c r="E570" s="280"/>
      <c r="F570" s="725"/>
    </row>
    <row r="571" spans="5:6">
      <c r="E571" s="280"/>
      <c r="F571" s="725"/>
    </row>
    <row r="572" spans="5:6">
      <c r="E572" s="280"/>
      <c r="F572" s="725"/>
    </row>
    <row r="573" spans="5:6">
      <c r="E573" s="280"/>
      <c r="F573" s="725"/>
    </row>
    <row r="574" spans="5:6">
      <c r="E574" s="280"/>
      <c r="F574" s="725"/>
    </row>
    <row r="575" spans="5:6">
      <c r="E575" s="280"/>
      <c r="F575" s="725"/>
    </row>
    <row r="576" spans="5:6">
      <c r="E576" s="280"/>
      <c r="F576" s="725"/>
    </row>
    <row r="577" spans="5:6">
      <c r="E577" s="280"/>
      <c r="F577" s="725"/>
    </row>
    <row r="578" spans="5:6">
      <c r="E578" s="280"/>
      <c r="F578" s="725"/>
    </row>
    <row r="579" spans="5:6">
      <c r="E579" s="280"/>
      <c r="F579" s="725"/>
    </row>
    <row r="580" spans="5:6">
      <c r="E580" s="280"/>
      <c r="F580" s="725"/>
    </row>
    <row r="581" spans="5:6">
      <c r="E581" s="280"/>
      <c r="F581" s="725"/>
    </row>
    <row r="582" spans="5:6">
      <c r="E582" s="280"/>
      <c r="F582" s="725"/>
    </row>
    <row r="583" spans="5:6">
      <c r="E583" s="280"/>
      <c r="F583" s="725"/>
    </row>
    <row r="584" spans="5:6">
      <c r="E584" s="280"/>
      <c r="F584" s="725"/>
    </row>
    <row r="585" spans="5:6">
      <c r="E585" s="280"/>
      <c r="F585" s="725"/>
    </row>
    <row r="586" spans="5:6">
      <c r="E586" s="280"/>
      <c r="F586" s="725"/>
    </row>
    <row r="587" spans="5:6">
      <c r="E587" s="280"/>
      <c r="F587" s="725"/>
    </row>
    <row r="588" spans="5:6">
      <c r="E588" s="280"/>
      <c r="F588" s="725"/>
    </row>
    <row r="589" spans="5:6">
      <c r="E589" s="280"/>
      <c r="F589" s="725"/>
    </row>
    <row r="590" spans="5:6">
      <c r="E590" s="280"/>
      <c r="F590" s="725"/>
    </row>
    <row r="591" spans="5:6">
      <c r="E591" s="280"/>
      <c r="F591" s="725"/>
    </row>
    <row r="592" spans="5:6">
      <c r="E592" s="280"/>
      <c r="F592" s="725"/>
    </row>
    <row r="593" spans="5:6">
      <c r="E593" s="280"/>
      <c r="F593" s="725"/>
    </row>
    <row r="594" spans="5:6">
      <c r="E594" s="280"/>
      <c r="F594" s="725"/>
    </row>
    <row r="595" spans="5:6">
      <c r="E595" s="280"/>
      <c r="F595" s="725"/>
    </row>
    <row r="596" spans="5:6">
      <c r="E596" s="280"/>
      <c r="F596" s="725"/>
    </row>
    <row r="597" spans="5:6">
      <c r="E597" s="280"/>
      <c r="F597" s="725"/>
    </row>
    <row r="598" spans="5:6">
      <c r="E598" s="280"/>
      <c r="F598" s="725"/>
    </row>
    <row r="599" spans="5:6">
      <c r="E599" s="280"/>
      <c r="F599" s="725"/>
    </row>
    <row r="600" spans="5:6">
      <c r="E600" s="280"/>
      <c r="F600" s="725"/>
    </row>
    <row r="601" spans="5:6">
      <c r="E601" s="280"/>
      <c r="F601" s="725"/>
    </row>
    <row r="602" spans="5:6">
      <c r="E602" s="280"/>
      <c r="F602" s="725"/>
    </row>
    <row r="603" spans="5:6">
      <c r="E603" s="280"/>
      <c r="F603" s="725"/>
    </row>
    <row r="604" spans="5:6">
      <c r="E604" s="280"/>
      <c r="F604" s="725"/>
    </row>
    <row r="605" spans="5:6">
      <c r="E605" s="280"/>
      <c r="F605" s="725"/>
    </row>
    <row r="606" spans="5:6">
      <c r="E606" s="280"/>
      <c r="F606" s="725"/>
    </row>
    <row r="607" spans="5:6">
      <c r="E607" s="280"/>
      <c r="F607" s="725"/>
    </row>
    <row r="608" spans="5:6">
      <c r="E608" s="280"/>
      <c r="F608" s="725"/>
    </row>
    <row r="609" spans="5:6">
      <c r="E609" s="280"/>
      <c r="F609" s="725"/>
    </row>
    <row r="610" spans="5:6">
      <c r="E610" s="280"/>
      <c r="F610" s="725"/>
    </row>
    <row r="611" spans="5:6">
      <c r="E611" s="280"/>
      <c r="F611" s="725"/>
    </row>
    <row r="612" spans="5:6">
      <c r="E612" s="280"/>
      <c r="F612" s="725"/>
    </row>
    <row r="613" spans="5:6">
      <c r="E613" s="280"/>
      <c r="F613" s="725"/>
    </row>
    <row r="614" spans="5:6">
      <c r="E614" s="280"/>
      <c r="F614" s="725"/>
    </row>
    <row r="615" spans="5:6">
      <c r="E615" s="280"/>
      <c r="F615" s="725"/>
    </row>
    <row r="616" spans="5:6">
      <c r="E616" s="280"/>
      <c r="F616" s="725"/>
    </row>
    <row r="617" spans="5:6">
      <c r="E617" s="280"/>
      <c r="F617" s="725"/>
    </row>
    <row r="618" spans="5:6">
      <c r="E618" s="280"/>
      <c r="F618" s="725"/>
    </row>
    <row r="619" spans="5:6">
      <c r="E619" s="280"/>
      <c r="F619" s="725"/>
    </row>
    <row r="620" spans="5:6">
      <c r="E620" s="280"/>
      <c r="F620" s="725"/>
    </row>
    <row r="621" spans="5:6">
      <c r="E621" s="280"/>
      <c r="F621" s="725"/>
    </row>
    <row r="622" spans="5:6">
      <c r="E622" s="280"/>
      <c r="F622" s="725"/>
    </row>
    <row r="623" spans="5:6">
      <c r="E623" s="280"/>
      <c r="F623" s="725"/>
    </row>
    <row r="624" spans="5:6">
      <c r="E624" s="280"/>
      <c r="F624" s="725"/>
    </row>
    <row r="625" spans="5:6">
      <c r="E625" s="280"/>
      <c r="F625" s="725"/>
    </row>
    <row r="626" spans="5:6">
      <c r="E626" s="280"/>
      <c r="F626" s="725"/>
    </row>
    <row r="627" spans="5:6">
      <c r="E627" s="280"/>
      <c r="F627" s="725"/>
    </row>
    <row r="628" spans="5:6">
      <c r="E628" s="280"/>
      <c r="F628" s="725"/>
    </row>
    <row r="629" spans="5:6">
      <c r="E629" s="280"/>
      <c r="F629" s="725"/>
    </row>
    <row r="630" spans="5:6">
      <c r="E630" s="280"/>
      <c r="F630" s="725"/>
    </row>
    <row r="631" spans="5:6">
      <c r="E631" s="280"/>
      <c r="F631" s="725"/>
    </row>
    <row r="632" spans="5:6">
      <c r="E632" s="280"/>
      <c r="F632" s="725"/>
    </row>
    <row r="633" spans="5:6">
      <c r="E633" s="280"/>
      <c r="F633" s="725"/>
    </row>
    <row r="634" spans="5:6">
      <c r="E634" s="280"/>
      <c r="F634" s="725"/>
    </row>
    <row r="635" spans="5:6">
      <c r="E635" s="280"/>
      <c r="F635" s="725"/>
    </row>
    <row r="636" spans="5:6">
      <c r="E636" s="280"/>
      <c r="F636" s="725"/>
    </row>
    <row r="637" spans="5:6">
      <c r="E637" s="280"/>
      <c r="F637" s="725"/>
    </row>
    <row r="638" spans="5:6">
      <c r="E638" s="280"/>
      <c r="F638" s="725"/>
    </row>
    <row r="639" spans="5:6">
      <c r="E639" s="280"/>
      <c r="F639" s="725"/>
    </row>
    <row r="640" spans="5:6">
      <c r="E640" s="280"/>
      <c r="F640" s="725"/>
    </row>
    <row r="641" spans="5:6">
      <c r="E641" s="280"/>
      <c r="F641" s="725"/>
    </row>
    <row r="642" spans="5:6">
      <c r="E642" s="280"/>
      <c r="F642" s="725"/>
    </row>
    <row r="643" spans="5:6">
      <c r="E643" s="280"/>
      <c r="F643" s="725"/>
    </row>
    <row r="644" spans="5:6">
      <c r="E644" s="280"/>
      <c r="F644" s="725"/>
    </row>
    <row r="645" spans="5:6">
      <c r="E645" s="280"/>
      <c r="F645" s="725"/>
    </row>
    <row r="646" spans="5:6">
      <c r="E646" s="280"/>
      <c r="F646" s="725"/>
    </row>
    <row r="647" spans="5:6">
      <c r="E647" s="280"/>
      <c r="F647" s="725"/>
    </row>
    <row r="648" spans="5:6">
      <c r="E648" s="280"/>
      <c r="F648" s="725"/>
    </row>
    <row r="649" spans="5:6">
      <c r="E649" s="280"/>
      <c r="F649" s="725"/>
    </row>
    <row r="650" spans="5:6">
      <c r="E650" s="280"/>
      <c r="F650" s="725"/>
    </row>
    <row r="651" spans="5:6">
      <c r="E651" s="280"/>
      <c r="F651" s="725"/>
    </row>
    <row r="652" spans="5:6">
      <c r="E652" s="280"/>
      <c r="F652" s="725"/>
    </row>
    <row r="653" spans="5:6">
      <c r="E653" s="280"/>
      <c r="F653" s="725"/>
    </row>
    <row r="654" spans="5:6">
      <c r="E654" s="280"/>
      <c r="F654" s="725"/>
    </row>
    <row r="655" spans="5:6">
      <c r="E655" s="280"/>
      <c r="F655" s="725"/>
    </row>
    <row r="656" spans="5:6">
      <c r="E656" s="280"/>
      <c r="F656" s="725"/>
    </row>
    <row r="657" spans="5:6">
      <c r="E657" s="280"/>
      <c r="F657" s="725"/>
    </row>
    <row r="658" spans="5:6">
      <c r="E658" s="280"/>
      <c r="F658" s="725"/>
    </row>
    <row r="659" spans="5:6">
      <c r="E659" s="280"/>
      <c r="F659" s="725"/>
    </row>
    <row r="660" spans="5:6">
      <c r="E660" s="280"/>
      <c r="F660" s="725"/>
    </row>
    <row r="661" spans="5:6">
      <c r="E661" s="280"/>
      <c r="F661" s="725"/>
    </row>
    <row r="662" spans="5:6">
      <c r="E662" s="280"/>
      <c r="F662" s="725"/>
    </row>
    <row r="663" spans="5:6">
      <c r="E663" s="280"/>
      <c r="F663" s="725"/>
    </row>
    <row r="664" spans="5:6">
      <c r="E664" s="280"/>
      <c r="F664" s="725"/>
    </row>
    <row r="665" spans="5:6">
      <c r="E665" s="280"/>
      <c r="F665" s="725"/>
    </row>
    <row r="666" spans="5:6">
      <c r="E666" s="280"/>
      <c r="F666" s="725"/>
    </row>
    <row r="667" spans="5:6">
      <c r="E667" s="280"/>
      <c r="F667" s="725"/>
    </row>
    <row r="668" spans="5:6">
      <c r="E668" s="280"/>
      <c r="F668" s="725"/>
    </row>
    <row r="669" spans="5:6">
      <c r="E669" s="280"/>
      <c r="F669" s="725"/>
    </row>
    <row r="670" spans="5:6">
      <c r="E670" s="280"/>
      <c r="F670" s="725"/>
    </row>
    <row r="671" spans="5:6">
      <c r="E671" s="280"/>
      <c r="F671" s="725"/>
    </row>
    <row r="672" spans="5:6">
      <c r="E672" s="280"/>
      <c r="F672" s="725"/>
    </row>
    <row r="673" spans="5:6">
      <c r="E673" s="280"/>
      <c r="F673" s="725"/>
    </row>
    <row r="674" spans="5:6">
      <c r="E674" s="280"/>
      <c r="F674" s="725"/>
    </row>
    <row r="675" spans="5:6">
      <c r="E675" s="280"/>
      <c r="F675" s="725"/>
    </row>
    <row r="676" spans="5:6">
      <c r="E676" s="280"/>
      <c r="F676" s="725"/>
    </row>
    <row r="677" spans="5:6">
      <c r="E677" s="280"/>
      <c r="F677" s="725"/>
    </row>
    <row r="678" spans="5:6">
      <c r="E678" s="280"/>
      <c r="F678" s="725"/>
    </row>
    <row r="679" spans="5:6">
      <c r="E679" s="280"/>
      <c r="F679" s="725"/>
    </row>
    <row r="680" spans="5:6">
      <c r="E680" s="280"/>
      <c r="F680" s="725"/>
    </row>
    <row r="681" spans="5:6">
      <c r="E681" s="280"/>
      <c r="F681" s="725"/>
    </row>
    <row r="682" spans="5:6">
      <c r="E682" s="280"/>
      <c r="F682" s="725"/>
    </row>
    <row r="683" spans="5:6">
      <c r="E683" s="280"/>
      <c r="F683" s="725"/>
    </row>
    <row r="684" spans="5:6">
      <c r="E684" s="280"/>
      <c r="F684" s="725"/>
    </row>
  </sheetData>
  <sheetProtection algorithmName="SHA-512" hashValue="MDC65QHU1A2jlLLD5jS5W5RUCg2TTxB3RsJuuOTyerzxuLBTeQ2ggLbiFdd2zga1UzBVuH+toUCGuUkpdH2jTA==" saltValue="GOyx+DnkKljLSMKtgECTaA==" spinCount="100000" sheet="1" formatCells="0" formatColumns="0" formatRows="0" insertColumns="0" insertRows="0" insertHyperlinks="0" deleteColumns="0" deleteRows="0" sort="0" autoFilter="0" pivotTables="0"/>
  <mergeCells count="9">
    <mergeCell ref="I1:J1"/>
    <mergeCell ref="A122:G122"/>
    <mergeCell ref="A152:G152"/>
    <mergeCell ref="A182:G182"/>
    <mergeCell ref="A212:G212"/>
    <mergeCell ref="A2:G2"/>
    <mergeCell ref="A32:G32"/>
    <mergeCell ref="A62:G62"/>
    <mergeCell ref="A92:G92"/>
  </mergeCells>
  <hyperlinks>
    <hyperlink ref="H1" location="ГЛАВНАЯ!A1" display="На главную" xr:uid="{00000000-0004-0000-1400-000000000000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32"/>
  <dimension ref="A1:M269"/>
  <sheetViews>
    <sheetView workbookViewId="0">
      <pane ySplit="1" topLeftCell="A2" activePane="bottomLeft" state="frozen"/>
      <selection pane="bottomLeft" activeCell="I1" sqref="I1"/>
    </sheetView>
  </sheetViews>
  <sheetFormatPr defaultRowHeight="14.3"/>
  <cols>
    <col min="1" max="1" width="44" style="317" bestFit="1" customWidth="1"/>
    <col min="2" max="3" width="12.25" style="317" customWidth="1"/>
    <col min="4" max="4" width="11.125" style="317" customWidth="1"/>
    <col min="5" max="5" width="9.125" style="317" customWidth="1"/>
    <col min="6" max="6" width="10" style="317" hidden="1" customWidth="1"/>
    <col min="7" max="7" width="16.375" style="326" customWidth="1"/>
    <col min="8" max="8" width="17.625" style="731" customWidth="1"/>
    <col min="9" max="9" width="17.75" customWidth="1"/>
    <col min="10" max="10" width="16.125" customWidth="1"/>
    <col min="11" max="11" width="17.875" customWidth="1"/>
  </cols>
  <sheetData>
    <row r="1" spans="1:13" ht="53.35" customHeight="1" thickBot="1">
      <c r="A1" s="374" t="s">
        <v>2</v>
      </c>
      <c r="B1" s="375" t="s">
        <v>2342</v>
      </c>
      <c r="C1" s="375" t="s">
        <v>2586</v>
      </c>
      <c r="D1" s="375" t="s">
        <v>2343</v>
      </c>
      <c r="E1" s="375" t="s">
        <v>766</v>
      </c>
      <c r="F1" s="276" t="s">
        <v>2587</v>
      </c>
      <c r="G1" s="343" t="s">
        <v>3371</v>
      </c>
      <c r="H1" s="716" t="s">
        <v>3372</v>
      </c>
      <c r="I1" s="329" t="s">
        <v>2304</v>
      </c>
      <c r="J1" s="921" t="s">
        <v>3595</v>
      </c>
      <c r="K1" s="922"/>
    </row>
    <row r="2" spans="1:13" ht="16.3" thickBot="1">
      <c r="A2" s="934" t="s">
        <v>2704</v>
      </c>
      <c r="B2" s="935"/>
      <c r="C2" s="935"/>
      <c r="D2" s="935"/>
      <c r="E2" s="935"/>
      <c r="F2" s="935"/>
      <c r="G2" s="935"/>
      <c r="H2" s="936"/>
    </row>
    <row r="3" spans="1:13">
      <c r="A3" s="322" t="s">
        <v>2588</v>
      </c>
      <c r="B3" s="300">
        <v>2.5</v>
      </c>
      <c r="C3" s="300">
        <v>6</v>
      </c>
      <c r="D3" s="301">
        <v>200</v>
      </c>
      <c r="E3" s="302" t="s">
        <v>2347</v>
      </c>
      <c r="F3" s="318">
        <v>600.4</v>
      </c>
      <c r="G3" s="303">
        <v>424.9931400000001</v>
      </c>
      <c r="H3" s="727">
        <v>691.03827000000001</v>
      </c>
      <c r="L3" s="3"/>
      <c r="M3" s="3"/>
    </row>
    <row r="4" spans="1:13">
      <c r="A4" s="323" t="s">
        <v>2589</v>
      </c>
      <c r="B4" s="292">
        <v>2.5</v>
      </c>
      <c r="C4" s="292">
        <v>6</v>
      </c>
      <c r="D4" s="293">
        <v>300</v>
      </c>
      <c r="E4" s="294" t="s">
        <v>2347</v>
      </c>
      <c r="F4" s="319">
        <v>641.66999999999996</v>
      </c>
      <c r="G4" s="313">
        <v>454.2080400000001</v>
      </c>
      <c r="H4" s="728">
        <v>755.22329999999999</v>
      </c>
      <c r="L4" s="3"/>
      <c r="M4" s="3"/>
    </row>
    <row r="5" spans="1:13">
      <c r="A5" s="323" t="s">
        <v>2590</v>
      </c>
      <c r="B5" s="292">
        <v>2.5</v>
      </c>
      <c r="C5" s="292">
        <v>6</v>
      </c>
      <c r="D5" s="293">
        <v>400</v>
      </c>
      <c r="E5" s="294" t="s">
        <v>2347</v>
      </c>
      <c r="F5" s="319">
        <v>682.93</v>
      </c>
      <c r="G5" s="313">
        <v>483.41007000000008</v>
      </c>
      <c r="H5" s="728">
        <v>819.40832999999998</v>
      </c>
      <c r="L5" s="3"/>
      <c r="M5" s="3"/>
    </row>
    <row r="6" spans="1:13">
      <c r="A6" s="323" t="s">
        <v>2591</v>
      </c>
      <c r="B6" s="292">
        <v>2.5</v>
      </c>
      <c r="C6" s="292">
        <v>6</v>
      </c>
      <c r="D6" s="293">
        <v>500</v>
      </c>
      <c r="E6" s="294" t="s">
        <v>2347</v>
      </c>
      <c r="F6" s="319">
        <v>724.19</v>
      </c>
      <c r="G6" s="313">
        <v>512.61210000000017</v>
      </c>
      <c r="H6" s="728">
        <v>883.59335999999996</v>
      </c>
      <c r="L6" s="3"/>
      <c r="M6" s="3"/>
    </row>
    <row r="7" spans="1:13">
      <c r="A7" s="323" t="s">
        <v>2592</v>
      </c>
      <c r="B7" s="292">
        <v>2.5</v>
      </c>
      <c r="C7" s="292">
        <v>6</v>
      </c>
      <c r="D7" s="293">
        <v>600</v>
      </c>
      <c r="E7" s="294" t="s">
        <v>2347</v>
      </c>
      <c r="F7" s="319">
        <v>765.45</v>
      </c>
      <c r="G7" s="313">
        <v>541.82700000000011</v>
      </c>
      <c r="H7" s="728">
        <v>947.77838999999994</v>
      </c>
      <c r="L7" s="3"/>
      <c r="M7" s="3"/>
    </row>
    <row r="8" spans="1:13">
      <c r="A8" s="323" t="s">
        <v>2593</v>
      </c>
      <c r="B8" s="292">
        <v>2.5</v>
      </c>
      <c r="C8" s="292">
        <v>6</v>
      </c>
      <c r="D8" s="293">
        <v>700</v>
      </c>
      <c r="E8" s="294" t="s">
        <v>2347</v>
      </c>
      <c r="F8" s="319">
        <v>806.7</v>
      </c>
      <c r="G8" s="313">
        <v>571.02903000000003</v>
      </c>
      <c r="H8" s="728">
        <v>1011.96342</v>
      </c>
      <c r="L8" s="3"/>
      <c r="M8" s="3"/>
    </row>
    <row r="9" spans="1:13">
      <c r="A9" s="323" t="s">
        <v>2594</v>
      </c>
      <c r="B9" s="292">
        <v>2.5</v>
      </c>
      <c r="C9" s="292">
        <v>6</v>
      </c>
      <c r="D9" s="293">
        <v>800</v>
      </c>
      <c r="E9" s="294" t="s">
        <v>2347</v>
      </c>
      <c r="F9" s="319">
        <v>847.97</v>
      </c>
      <c r="G9" s="313">
        <v>600.23105999999996</v>
      </c>
      <c r="H9" s="728">
        <v>1076.1484499999999</v>
      </c>
      <c r="L9" s="3"/>
      <c r="M9" s="3"/>
    </row>
    <row r="10" spans="1:13">
      <c r="A10" s="323" t="s">
        <v>2595</v>
      </c>
      <c r="B10" s="292">
        <v>2.5</v>
      </c>
      <c r="C10" s="292">
        <v>6</v>
      </c>
      <c r="D10" s="293">
        <v>900</v>
      </c>
      <c r="E10" s="294" t="s">
        <v>2347</v>
      </c>
      <c r="F10" s="319">
        <v>889.23</v>
      </c>
      <c r="G10" s="313">
        <v>629.44596000000013</v>
      </c>
      <c r="H10" s="728">
        <v>1140.35337</v>
      </c>
      <c r="L10" s="3"/>
      <c r="M10" s="3"/>
    </row>
    <row r="11" spans="1:13">
      <c r="A11" s="323" t="s">
        <v>2596</v>
      </c>
      <c r="B11" s="292">
        <v>2.5</v>
      </c>
      <c r="C11" s="292">
        <v>6</v>
      </c>
      <c r="D11" s="293">
        <v>1000</v>
      </c>
      <c r="E11" s="294" t="s">
        <v>2347</v>
      </c>
      <c r="F11" s="319">
        <v>948.73</v>
      </c>
      <c r="G11" s="313">
        <v>671.5566</v>
      </c>
      <c r="H11" s="728">
        <v>1224.4681800000001</v>
      </c>
      <c r="L11" s="3"/>
      <c r="M11" s="3"/>
    </row>
    <row r="12" spans="1:13">
      <c r="A12" s="323" t="s">
        <v>2597</v>
      </c>
      <c r="B12" s="292">
        <v>2.5</v>
      </c>
      <c r="C12" s="292">
        <v>6</v>
      </c>
      <c r="D12" s="293">
        <v>1100</v>
      </c>
      <c r="E12" s="294" t="s">
        <v>2347</v>
      </c>
      <c r="F12" s="319">
        <v>989.99</v>
      </c>
      <c r="G12" s="313">
        <v>700.75863000000004</v>
      </c>
      <c r="H12" s="728">
        <v>1288.6532100000002</v>
      </c>
      <c r="L12" s="3"/>
      <c r="M12" s="3"/>
    </row>
    <row r="13" spans="1:13">
      <c r="A13" s="323" t="s">
        <v>2598</v>
      </c>
      <c r="B13" s="292">
        <v>2.5</v>
      </c>
      <c r="C13" s="292">
        <v>6</v>
      </c>
      <c r="D13" s="293">
        <v>1200</v>
      </c>
      <c r="E13" s="294" t="s">
        <v>2347</v>
      </c>
      <c r="F13" s="319">
        <v>1031.25</v>
      </c>
      <c r="G13" s="313">
        <v>729.97353000000021</v>
      </c>
      <c r="H13" s="728">
        <v>1352.83824</v>
      </c>
      <c r="L13" s="3"/>
      <c r="M13" s="3"/>
    </row>
    <row r="14" spans="1:13">
      <c r="A14" s="323" t="s">
        <v>2599</v>
      </c>
      <c r="B14" s="292">
        <v>2.5</v>
      </c>
      <c r="C14" s="292">
        <v>6</v>
      </c>
      <c r="D14" s="293">
        <v>1300</v>
      </c>
      <c r="E14" s="294" t="s">
        <v>2347</v>
      </c>
      <c r="F14" s="319">
        <v>1072.51</v>
      </c>
      <c r="G14" s="313">
        <v>759.17556000000013</v>
      </c>
      <c r="H14" s="728">
        <v>1417.0232699999999</v>
      </c>
      <c r="L14" s="3"/>
      <c r="M14" s="3"/>
    </row>
    <row r="15" spans="1:13">
      <c r="A15" s="323" t="s">
        <v>2600</v>
      </c>
      <c r="B15" s="292">
        <v>2.5</v>
      </c>
      <c r="C15" s="292">
        <v>6</v>
      </c>
      <c r="D15" s="293">
        <v>1400</v>
      </c>
      <c r="E15" s="294" t="s">
        <v>2347</v>
      </c>
      <c r="F15" s="319">
        <v>1113.77</v>
      </c>
      <c r="G15" s="313">
        <v>788.37759000000017</v>
      </c>
      <c r="H15" s="728">
        <v>1481.22819</v>
      </c>
      <c r="L15" s="3"/>
      <c r="M15" s="3"/>
    </row>
    <row r="16" spans="1:13">
      <c r="A16" s="323" t="s">
        <v>2601</v>
      </c>
      <c r="B16" s="292">
        <v>2.5</v>
      </c>
      <c r="C16" s="292">
        <v>6</v>
      </c>
      <c r="D16" s="293">
        <v>1500</v>
      </c>
      <c r="E16" s="294" t="s">
        <v>2347</v>
      </c>
      <c r="F16" s="319">
        <v>1155.03</v>
      </c>
      <c r="G16" s="313">
        <v>817.59249</v>
      </c>
      <c r="H16" s="728">
        <v>1545.3933300000001</v>
      </c>
      <c r="L16" s="3"/>
      <c r="M16" s="3"/>
    </row>
    <row r="17" spans="1:13">
      <c r="A17" s="323" t="s">
        <v>2602</v>
      </c>
      <c r="B17" s="292">
        <v>2.5</v>
      </c>
      <c r="C17" s="292">
        <v>6</v>
      </c>
      <c r="D17" s="293">
        <v>1600</v>
      </c>
      <c r="E17" s="294" t="s">
        <v>2347</v>
      </c>
      <c r="F17" s="319">
        <v>1196.3</v>
      </c>
      <c r="G17" s="313">
        <v>846.80739000000017</v>
      </c>
      <c r="H17" s="728">
        <v>1609.57836</v>
      </c>
      <c r="L17" s="3"/>
      <c r="M17" s="3"/>
    </row>
    <row r="18" spans="1:13">
      <c r="A18" s="323" t="s">
        <v>2603</v>
      </c>
      <c r="B18" s="292">
        <v>2.5</v>
      </c>
      <c r="C18" s="292">
        <v>6</v>
      </c>
      <c r="D18" s="293">
        <v>1700</v>
      </c>
      <c r="E18" s="294" t="s">
        <v>2347</v>
      </c>
      <c r="F18" s="319">
        <v>1237.55</v>
      </c>
      <c r="G18" s="313">
        <v>875.99655000000007</v>
      </c>
      <c r="H18" s="728">
        <v>1673.7633899999998</v>
      </c>
      <c r="L18" s="3"/>
      <c r="M18" s="3"/>
    </row>
    <row r="19" spans="1:13">
      <c r="A19" s="323" t="s">
        <v>2604</v>
      </c>
      <c r="B19" s="292">
        <v>2.5</v>
      </c>
      <c r="C19" s="292">
        <v>6</v>
      </c>
      <c r="D19" s="293">
        <v>1800</v>
      </c>
      <c r="E19" s="294" t="s">
        <v>2347</v>
      </c>
      <c r="F19" s="319">
        <v>1278.82</v>
      </c>
      <c r="G19" s="313">
        <v>905.21145000000013</v>
      </c>
      <c r="H19" s="728">
        <v>1737.9484199999999</v>
      </c>
      <c r="L19" s="3"/>
      <c r="M19" s="3"/>
    </row>
    <row r="20" spans="1:13">
      <c r="A20" s="323" t="s">
        <v>2605</v>
      </c>
      <c r="B20" s="292">
        <v>2.5</v>
      </c>
      <c r="C20" s="292">
        <v>6</v>
      </c>
      <c r="D20" s="293">
        <v>1900</v>
      </c>
      <c r="E20" s="294" t="s">
        <v>2347</v>
      </c>
      <c r="F20" s="319">
        <v>1320.08</v>
      </c>
      <c r="G20" s="313">
        <v>934.41348000000016</v>
      </c>
      <c r="H20" s="728">
        <v>1802.13345</v>
      </c>
      <c r="L20" s="3"/>
      <c r="M20" s="3"/>
    </row>
    <row r="21" spans="1:13">
      <c r="A21" s="323" t="s">
        <v>2606</v>
      </c>
      <c r="B21" s="292">
        <v>2.5</v>
      </c>
      <c r="C21" s="292">
        <v>6</v>
      </c>
      <c r="D21" s="293">
        <v>2000</v>
      </c>
      <c r="E21" s="294" t="s">
        <v>2347</v>
      </c>
      <c r="F21" s="319">
        <v>1361.34</v>
      </c>
      <c r="G21" s="313">
        <v>963.62838000000022</v>
      </c>
      <c r="H21" s="728">
        <v>1866.3184799999999</v>
      </c>
      <c r="L21" s="3"/>
      <c r="M21" s="3"/>
    </row>
    <row r="22" spans="1:13">
      <c r="A22" s="323" t="s">
        <v>2607</v>
      </c>
      <c r="B22" s="292">
        <v>2.5</v>
      </c>
      <c r="C22" s="292">
        <v>6</v>
      </c>
      <c r="D22" s="293">
        <v>2100</v>
      </c>
      <c r="E22" s="294" t="s">
        <v>2347</v>
      </c>
      <c r="F22" s="319">
        <v>1402.6</v>
      </c>
      <c r="G22" s="313">
        <v>992.83041000000003</v>
      </c>
      <c r="H22" s="728">
        <v>1930.50351</v>
      </c>
      <c r="L22" s="3"/>
      <c r="M22" s="3"/>
    </row>
    <row r="23" spans="1:13">
      <c r="A23" s="323" t="s">
        <v>2608</v>
      </c>
      <c r="B23" s="292">
        <v>2.5</v>
      </c>
      <c r="C23" s="292">
        <v>6</v>
      </c>
      <c r="D23" s="293">
        <v>2200</v>
      </c>
      <c r="E23" s="294" t="s">
        <v>2347</v>
      </c>
      <c r="F23" s="319">
        <v>1443.86</v>
      </c>
      <c r="G23" s="313">
        <v>1022.0324400000001</v>
      </c>
      <c r="H23" s="728">
        <v>1994.6885400000003</v>
      </c>
      <c r="L23" s="3"/>
      <c r="M23" s="3"/>
    </row>
    <row r="24" spans="1:13">
      <c r="A24" s="323" t="s">
        <v>2609</v>
      </c>
      <c r="B24" s="292">
        <v>2.5</v>
      </c>
      <c r="C24" s="292">
        <v>6</v>
      </c>
      <c r="D24" s="293">
        <v>2300</v>
      </c>
      <c r="E24" s="294" t="s">
        <v>2347</v>
      </c>
      <c r="F24" s="319">
        <v>1485.12</v>
      </c>
      <c r="G24" s="313">
        <v>1051.2473400000003</v>
      </c>
      <c r="H24" s="728">
        <v>2058.8735700000002</v>
      </c>
      <c r="L24" s="3"/>
      <c r="M24" s="3"/>
    </row>
    <row r="25" spans="1:13">
      <c r="A25" s="323" t="s">
        <v>2610</v>
      </c>
      <c r="B25" s="292">
        <v>2.5</v>
      </c>
      <c r="C25" s="292">
        <v>6</v>
      </c>
      <c r="D25" s="293">
        <v>2400</v>
      </c>
      <c r="E25" s="294" t="s">
        <v>2347</v>
      </c>
      <c r="F25" s="319">
        <v>1526.39</v>
      </c>
      <c r="G25" s="313">
        <v>1080.44937</v>
      </c>
      <c r="H25" s="728">
        <v>2123.0784900000003</v>
      </c>
      <c r="L25" s="3"/>
      <c r="M25" s="3"/>
    </row>
    <row r="26" spans="1:13">
      <c r="A26" s="323" t="s">
        <v>2611</v>
      </c>
      <c r="B26" s="292">
        <v>2.5</v>
      </c>
      <c r="C26" s="292">
        <v>6</v>
      </c>
      <c r="D26" s="293">
        <v>2500</v>
      </c>
      <c r="E26" s="294" t="s">
        <v>2347</v>
      </c>
      <c r="F26" s="319">
        <v>1567.64</v>
      </c>
      <c r="G26" s="313">
        <v>1109.6514000000002</v>
      </c>
      <c r="H26" s="728">
        <v>2187.26352</v>
      </c>
      <c r="L26" s="3"/>
      <c r="M26" s="3"/>
    </row>
    <row r="27" spans="1:13">
      <c r="A27" s="323" t="s">
        <v>2612</v>
      </c>
      <c r="B27" s="292">
        <v>2.5</v>
      </c>
      <c r="C27" s="292">
        <v>6</v>
      </c>
      <c r="D27" s="293">
        <v>2600</v>
      </c>
      <c r="E27" s="294" t="s">
        <v>2347</v>
      </c>
      <c r="F27" s="319">
        <v>1608.9</v>
      </c>
      <c r="G27" s="313">
        <v>1138.8663000000001</v>
      </c>
      <c r="H27" s="728">
        <v>2251.42866</v>
      </c>
      <c r="L27" s="3"/>
      <c r="M27" s="3"/>
    </row>
    <row r="28" spans="1:13">
      <c r="A28" s="323" t="s">
        <v>2613</v>
      </c>
      <c r="B28" s="292">
        <v>2.5</v>
      </c>
      <c r="C28" s="292">
        <v>6</v>
      </c>
      <c r="D28" s="293">
        <v>2700</v>
      </c>
      <c r="E28" s="294" t="s">
        <v>2347</v>
      </c>
      <c r="F28" s="319">
        <v>1650.17</v>
      </c>
      <c r="G28" s="313">
        <v>1168.0683300000003</v>
      </c>
      <c r="H28" s="728">
        <v>2315.6136900000006</v>
      </c>
      <c r="L28" s="3"/>
      <c r="M28" s="3"/>
    </row>
    <row r="29" spans="1:13">
      <c r="A29" s="323" t="s">
        <v>2614</v>
      </c>
      <c r="B29" s="292">
        <v>2.5</v>
      </c>
      <c r="C29" s="292">
        <v>6</v>
      </c>
      <c r="D29" s="293">
        <v>2800</v>
      </c>
      <c r="E29" s="294" t="s">
        <v>2347</v>
      </c>
      <c r="F29" s="319">
        <v>1691.42</v>
      </c>
      <c r="G29" s="313">
        <v>1197.27036</v>
      </c>
      <c r="H29" s="728">
        <v>2379.7987199999998</v>
      </c>
      <c r="L29" s="3"/>
      <c r="M29" s="3"/>
    </row>
    <row r="30" spans="1:13">
      <c r="A30" s="323" t="s">
        <v>2615</v>
      </c>
      <c r="B30" s="292">
        <v>2.5</v>
      </c>
      <c r="C30" s="292">
        <v>6</v>
      </c>
      <c r="D30" s="293">
        <v>2900</v>
      </c>
      <c r="E30" s="294" t="s">
        <v>2347</v>
      </c>
      <c r="F30" s="319">
        <v>1732.69</v>
      </c>
      <c r="G30" s="313">
        <v>1226.4852600000002</v>
      </c>
      <c r="H30" s="728">
        <v>2444.0036399999999</v>
      </c>
      <c r="L30" s="3"/>
      <c r="M30" s="3"/>
    </row>
    <row r="31" spans="1:13" ht="14.95" thickBot="1">
      <c r="A31" s="324" t="s">
        <v>2616</v>
      </c>
      <c r="B31" s="296">
        <v>2.5</v>
      </c>
      <c r="C31" s="296">
        <v>6</v>
      </c>
      <c r="D31" s="297">
        <v>3000</v>
      </c>
      <c r="E31" s="298" t="s">
        <v>2347</v>
      </c>
      <c r="F31" s="320">
        <v>1773.94</v>
      </c>
      <c r="G31" s="315">
        <v>1255.6872900000003</v>
      </c>
      <c r="H31" s="729">
        <v>2508.1687800000004</v>
      </c>
      <c r="L31" s="3"/>
      <c r="M31" s="3"/>
    </row>
    <row r="32" spans="1:13" ht="16.3" thickBot="1">
      <c r="A32" s="934" t="s">
        <v>2705</v>
      </c>
      <c r="B32" s="935"/>
      <c r="C32" s="935"/>
      <c r="D32" s="935"/>
      <c r="E32" s="935"/>
      <c r="F32" s="935"/>
      <c r="G32" s="935"/>
      <c r="H32" s="936"/>
      <c r="L32" s="3"/>
      <c r="M32" s="3"/>
    </row>
    <row r="33" spans="1:13">
      <c r="A33" s="322" t="s">
        <v>2617</v>
      </c>
      <c r="B33" s="300">
        <v>2.5</v>
      </c>
      <c r="C33" s="300">
        <v>6</v>
      </c>
      <c r="D33" s="301">
        <v>200</v>
      </c>
      <c r="E33" s="302" t="s">
        <v>2347</v>
      </c>
      <c r="F33" s="318">
        <v>710.16</v>
      </c>
      <c r="G33" s="303">
        <v>502.68933000000004</v>
      </c>
      <c r="H33" s="727">
        <v>818.27459999999996</v>
      </c>
      <c r="L33" s="3"/>
      <c r="M33" s="3"/>
    </row>
    <row r="34" spans="1:13">
      <c r="A34" s="323" t="s">
        <v>2618</v>
      </c>
      <c r="B34" s="292">
        <v>2.5</v>
      </c>
      <c r="C34" s="292">
        <v>6</v>
      </c>
      <c r="D34" s="293">
        <v>300</v>
      </c>
      <c r="E34" s="294" t="s">
        <v>2347</v>
      </c>
      <c r="F34" s="319">
        <v>800</v>
      </c>
      <c r="G34" s="313">
        <v>566.28000000000009</v>
      </c>
      <c r="H34" s="728">
        <v>947.61927000000014</v>
      </c>
      <c r="L34" s="3"/>
      <c r="M34" s="3"/>
    </row>
    <row r="35" spans="1:13">
      <c r="A35" s="323" t="s">
        <v>2619</v>
      </c>
      <c r="B35" s="292">
        <v>2.5</v>
      </c>
      <c r="C35" s="292">
        <v>6</v>
      </c>
      <c r="D35" s="293">
        <v>400</v>
      </c>
      <c r="E35" s="294" t="s">
        <v>2347</v>
      </c>
      <c r="F35" s="319">
        <v>889.84</v>
      </c>
      <c r="G35" s="313">
        <v>629.87067000000013</v>
      </c>
      <c r="H35" s="728">
        <v>1076.9639399999999</v>
      </c>
      <c r="L35" s="3"/>
      <c r="M35" s="3"/>
    </row>
    <row r="36" spans="1:13">
      <c r="A36" s="323" t="s">
        <v>2620</v>
      </c>
      <c r="B36" s="292">
        <v>2.5</v>
      </c>
      <c r="C36" s="292">
        <v>6</v>
      </c>
      <c r="D36" s="293">
        <v>500</v>
      </c>
      <c r="E36" s="294" t="s">
        <v>2347</v>
      </c>
      <c r="F36" s="319">
        <v>979.68</v>
      </c>
      <c r="G36" s="313">
        <v>693.46134000000018</v>
      </c>
      <c r="H36" s="728">
        <v>1206.3285000000001</v>
      </c>
      <c r="L36" s="3"/>
      <c r="M36" s="3"/>
    </row>
    <row r="37" spans="1:13">
      <c r="A37" s="323" t="s">
        <v>2621</v>
      </c>
      <c r="B37" s="292">
        <v>2.5</v>
      </c>
      <c r="C37" s="292">
        <v>6</v>
      </c>
      <c r="D37" s="293">
        <v>600</v>
      </c>
      <c r="E37" s="294" t="s">
        <v>2347</v>
      </c>
      <c r="F37" s="319">
        <v>1069.53</v>
      </c>
      <c r="G37" s="313">
        <v>757.06488000000013</v>
      </c>
      <c r="H37" s="728">
        <v>1335.67317</v>
      </c>
      <c r="L37" s="3"/>
      <c r="M37" s="3"/>
    </row>
    <row r="38" spans="1:13">
      <c r="A38" s="323" t="s">
        <v>2622</v>
      </c>
      <c r="B38" s="292">
        <v>2.5</v>
      </c>
      <c r="C38" s="292">
        <v>6</v>
      </c>
      <c r="D38" s="293">
        <v>700</v>
      </c>
      <c r="E38" s="294" t="s">
        <v>2347</v>
      </c>
      <c r="F38" s="319">
        <v>1159.3699999999999</v>
      </c>
      <c r="G38" s="313">
        <v>820.65555000000018</v>
      </c>
      <c r="H38" s="728">
        <v>1465.0178399999998</v>
      </c>
      <c r="L38" s="3"/>
      <c r="M38" s="3"/>
    </row>
    <row r="39" spans="1:13">
      <c r="A39" s="323" t="s">
        <v>2623</v>
      </c>
      <c r="B39" s="292">
        <v>2.5</v>
      </c>
      <c r="C39" s="292">
        <v>6</v>
      </c>
      <c r="D39" s="293">
        <v>800</v>
      </c>
      <c r="E39" s="294" t="s">
        <v>2347</v>
      </c>
      <c r="F39" s="319">
        <v>1249.21</v>
      </c>
      <c r="G39" s="313">
        <v>884.25909000000013</v>
      </c>
      <c r="H39" s="728">
        <v>1594.3824000000002</v>
      </c>
      <c r="L39" s="3"/>
      <c r="M39" s="3"/>
    </row>
    <row r="40" spans="1:13">
      <c r="A40" s="323" t="s">
        <v>2624</v>
      </c>
      <c r="B40" s="292">
        <v>2.5</v>
      </c>
      <c r="C40" s="292">
        <v>6</v>
      </c>
      <c r="D40" s="293">
        <v>900</v>
      </c>
      <c r="E40" s="294" t="s">
        <v>2347</v>
      </c>
      <c r="F40" s="319">
        <v>1339.05</v>
      </c>
      <c r="G40" s="313">
        <v>947.84976000000017</v>
      </c>
      <c r="H40" s="728">
        <v>1723.7270700000004</v>
      </c>
      <c r="L40" s="3"/>
      <c r="M40" s="3"/>
    </row>
    <row r="41" spans="1:13">
      <c r="A41" s="323" t="s">
        <v>2625</v>
      </c>
      <c r="B41" s="292">
        <v>2.5</v>
      </c>
      <c r="C41" s="292">
        <v>6</v>
      </c>
      <c r="D41" s="293">
        <v>1000</v>
      </c>
      <c r="E41" s="294" t="s">
        <v>2347</v>
      </c>
      <c r="F41" s="319">
        <v>1428.89</v>
      </c>
      <c r="G41" s="313">
        <v>1011.4404300000001</v>
      </c>
      <c r="H41" s="728">
        <v>1853.0717399999996</v>
      </c>
      <c r="L41" s="3"/>
      <c r="M41" s="3"/>
    </row>
    <row r="42" spans="1:13">
      <c r="A42" s="323" t="s">
        <v>2626</v>
      </c>
      <c r="B42" s="292">
        <v>2.5</v>
      </c>
      <c r="C42" s="292">
        <v>6</v>
      </c>
      <c r="D42" s="293">
        <v>1100</v>
      </c>
      <c r="E42" s="294" t="s">
        <v>2347</v>
      </c>
      <c r="F42" s="319">
        <v>1534.62</v>
      </c>
      <c r="G42" s="313">
        <v>1086.2794800000001</v>
      </c>
      <c r="H42" s="728">
        <v>1982.41641</v>
      </c>
      <c r="L42" s="3"/>
      <c r="M42" s="3"/>
    </row>
    <row r="43" spans="1:13">
      <c r="A43" s="323" t="s">
        <v>2627</v>
      </c>
      <c r="B43" s="292">
        <v>2.5</v>
      </c>
      <c r="C43" s="292">
        <v>6</v>
      </c>
      <c r="D43" s="293">
        <v>1200</v>
      </c>
      <c r="E43" s="294" t="s">
        <v>2347</v>
      </c>
      <c r="F43" s="319">
        <v>1624.47</v>
      </c>
      <c r="G43" s="313">
        <v>1149.8830200000002</v>
      </c>
      <c r="H43" s="728">
        <v>2111.7809700000003</v>
      </c>
      <c r="L43" s="3"/>
      <c r="M43" s="3"/>
    </row>
    <row r="44" spans="1:13">
      <c r="A44" s="323" t="s">
        <v>2628</v>
      </c>
      <c r="B44" s="292">
        <v>2.5</v>
      </c>
      <c r="C44" s="292">
        <v>6</v>
      </c>
      <c r="D44" s="293">
        <v>1300</v>
      </c>
      <c r="E44" s="294" t="s">
        <v>2347</v>
      </c>
      <c r="F44" s="319">
        <v>1714.3</v>
      </c>
      <c r="G44" s="313">
        <v>1213.47369</v>
      </c>
      <c r="H44" s="728">
        <v>2241.1455299999998</v>
      </c>
      <c r="L44" s="3"/>
      <c r="M44" s="3"/>
    </row>
    <row r="45" spans="1:13">
      <c r="A45" s="323" t="s">
        <v>2629</v>
      </c>
      <c r="B45" s="292">
        <v>2.5</v>
      </c>
      <c r="C45" s="292">
        <v>6</v>
      </c>
      <c r="D45" s="293">
        <v>1400</v>
      </c>
      <c r="E45" s="294" t="s">
        <v>2347</v>
      </c>
      <c r="F45" s="319">
        <v>1804.15</v>
      </c>
      <c r="G45" s="313">
        <v>1277.0643600000001</v>
      </c>
      <c r="H45" s="728">
        <v>2370.4901999999997</v>
      </c>
      <c r="L45" s="3"/>
      <c r="M45" s="3"/>
    </row>
    <row r="46" spans="1:13">
      <c r="A46" s="323" t="s">
        <v>2630</v>
      </c>
      <c r="B46" s="292">
        <v>2.5</v>
      </c>
      <c r="C46" s="292">
        <v>6</v>
      </c>
      <c r="D46" s="293">
        <v>1500</v>
      </c>
      <c r="E46" s="294" t="s">
        <v>2347</v>
      </c>
      <c r="F46" s="319">
        <v>1893.99</v>
      </c>
      <c r="G46" s="313">
        <v>1340.6550300000004</v>
      </c>
      <c r="H46" s="728">
        <v>2499.8348699999997</v>
      </c>
      <c r="L46" s="3"/>
      <c r="M46" s="3"/>
    </row>
    <row r="47" spans="1:13">
      <c r="A47" s="323" t="s">
        <v>2631</v>
      </c>
      <c r="B47" s="292">
        <v>2.5</v>
      </c>
      <c r="C47" s="292">
        <v>6</v>
      </c>
      <c r="D47" s="293">
        <v>1600</v>
      </c>
      <c r="E47" s="294" t="s">
        <v>2347</v>
      </c>
      <c r="F47" s="319">
        <v>1983.83</v>
      </c>
      <c r="G47" s="313">
        <v>1404.2585700000002</v>
      </c>
      <c r="H47" s="728">
        <v>2629.1795400000001</v>
      </c>
      <c r="L47" s="3"/>
      <c r="M47" s="3"/>
    </row>
    <row r="48" spans="1:13">
      <c r="A48" s="323" t="s">
        <v>2632</v>
      </c>
      <c r="B48" s="292">
        <v>2.5</v>
      </c>
      <c r="C48" s="292">
        <v>6</v>
      </c>
      <c r="D48" s="293">
        <v>1700</v>
      </c>
      <c r="E48" s="294" t="s">
        <v>2347</v>
      </c>
      <c r="F48" s="319">
        <v>2073.6799999999998</v>
      </c>
      <c r="G48" s="313">
        <v>1467.8492400000002</v>
      </c>
      <c r="H48" s="728">
        <v>2758.5441000000005</v>
      </c>
      <c r="L48" s="3"/>
      <c r="M48" s="3"/>
    </row>
    <row r="49" spans="1:13">
      <c r="A49" s="323" t="s">
        <v>2633</v>
      </c>
      <c r="B49" s="292">
        <v>2.5</v>
      </c>
      <c r="C49" s="292">
        <v>6</v>
      </c>
      <c r="D49" s="293">
        <v>1800</v>
      </c>
      <c r="E49" s="294" t="s">
        <v>2347</v>
      </c>
      <c r="F49" s="319">
        <v>2163.5100000000002</v>
      </c>
      <c r="G49" s="313">
        <v>1531.4399100000003</v>
      </c>
      <c r="H49" s="728">
        <v>2887.8887700000005</v>
      </c>
      <c r="L49" s="3"/>
      <c r="M49" s="3"/>
    </row>
    <row r="50" spans="1:13">
      <c r="A50" s="323" t="s">
        <v>2634</v>
      </c>
      <c r="B50" s="292">
        <v>2.5</v>
      </c>
      <c r="C50" s="292">
        <v>6</v>
      </c>
      <c r="D50" s="293">
        <v>1900</v>
      </c>
      <c r="E50" s="294" t="s">
        <v>2347</v>
      </c>
      <c r="F50" s="319">
        <v>2253.36</v>
      </c>
      <c r="G50" s="313">
        <v>1595.0434500000001</v>
      </c>
      <c r="H50" s="728">
        <v>3017.2533300000005</v>
      </c>
      <c r="L50" s="3"/>
      <c r="M50" s="3"/>
    </row>
    <row r="51" spans="1:13">
      <c r="A51" s="323" t="s">
        <v>2635</v>
      </c>
      <c r="B51" s="292">
        <v>2.5</v>
      </c>
      <c r="C51" s="292">
        <v>6</v>
      </c>
      <c r="D51" s="293">
        <v>2000</v>
      </c>
      <c r="E51" s="294" t="s">
        <v>2347</v>
      </c>
      <c r="F51" s="319">
        <v>2343.1999999999998</v>
      </c>
      <c r="G51" s="313">
        <v>1658.6341200000002</v>
      </c>
      <c r="H51" s="728">
        <v>3146.598</v>
      </c>
      <c r="L51" s="3"/>
      <c r="M51" s="3"/>
    </row>
    <row r="52" spans="1:13">
      <c r="A52" s="323" t="s">
        <v>2636</v>
      </c>
      <c r="B52" s="292">
        <v>2.5</v>
      </c>
      <c r="C52" s="292">
        <v>6</v>
      </c>
      <c r="D52" s="293">
        <v>2100</v>
      </c>
      <c r="E52" s="294" t="s">
        <v>2347</v>
      </c>
      <c r="F52" s="319">
        <v>2448.9299999999998</v>
      </c>
      <c r="G52" s="313">
        <v>1733.4731700000004</v>
      </c>
      <c r="H52" s="728">
        <v>3275.9426699999999</v>
      </c>
      <c r="L52" s="3"/>
      <c r="M52" s="3"/>
    </row>
    <row r="53" spans="1:13">
      <c r="A53" s="323" t="s">
        <v>2637</v>
      </c>
      <c r="B53" s="292">
        <v>2.5</v>
      </c>
      <c r="C53" s="292">
        <v>6</v>
      </c>
      <c r="D53" s="293">
        <v>2200</v>
      </c>
      <c r="E53" s="294" t="s">
        <v>2347</v>
      </c>
      <c r="F53" s="319">
        <v>2538.77</v>
      </c>
      <c r="G53" s="313">
        <v>1797.06384</v>
      </c>
      <c r="H53" s="728">
        <v>3405.2873399999999</v>
      </c>
      <c r="L53" s="3"/>
      <c r="M53" s="3"/>
    </row>
    <row r="54" spans="1:13">
      <c r="A54" s="323" t="s">
        <v>2638</v>
      </c>
      <c r="B54" s="292">
        <v>2.5</v>
      </c>
      <c r="C54" s="292">
        <v>6</v>
      </c>
      <c r="D54" s="293">
        <v>2300</v>
      </c>
      <c r="E54" s="294" t="s">
        <v>2347</v>
      </c>
      <c r="F54" s="319">
        <v>2628.61</v>
      </c>
      <c r="G54" s="313">
        <v>1860.6673800000003</v>
      </c>
      <c r="H54" s="728">
        <v>3534.6320100000003</v>
      </c>
      <c r="L54" s="3"/>
      <c r="M54" s="3"/>
    </row>
    <row r="55" spans="1:13">
      <c r="A55" s="323" t="s">
        <v>2639</v>
      </c>
      <c r="B55" s="292">
        <v>2.5</v>
      </c>
      <c r="C55" s="292">
        <v>6</v>
      </c>
      <c r="D55" s="293">
        <v>2400</v>
      </c>
      <c r="E55" s="294" t="s">
        <v>2347</v>
      </c>
      <c r="F55" s="319">
        <v>2718.46</v>
      </c>
      <c r="G55" s="313">
        <v>1924.2580500000004</v>
      </c>
      <c r="H55" s="728">
        <v>3663.9965700000002</v>
      </c>
      <c r="L55" s="3"/>
      <c r="M55" s="3"/>
    </row>
    <row r="56" spans="1:13">
      <c r="A56" s="323" t="s">
        <v>2640</v>
      </c>
      <c r="B56" s="292">
        <v>2.5</v>
      </c>
      <c r="C56" s="292">
        <v>6</v>
      </c>
      <c r="D56" s="293">
        <v>2500</v>
      </c>
      <c r="E56" s="294" t="s">
        <v>2347</v>
      </c>
      <c r="F56" s="319">
        <v>2808.3</v>
      </c>
      <c r="G56" s="313">
        <v>1987.8615900000002</v>
      </c>
      <c r="H56" s="728">
        <v>3793.3412399999997</v>
      </c>
      <c r="L56" s="3"/>
      <c r="M56" s="3"/>
    </row>
    <row r="57" spans="1:13">
      <c r="A57" s="323" t="s">
        <v>2641</v>
      </c>
      <c r="B57" s="292">
        <v>2.5</v>
      </c>
      <c r="C57" s="292">
        <v>6</v>
      </c>
      <c r="D57" s="293">
        <v>2600</v>
      </c>
      <c r="E57" s="294" t="s">
        <v>2347</v>
      </c>
      <c r="F57" s="319">
        <v>2898.14</v>
      </c>
      <c r="G57" s="313">
        <v>2051.45226</v>
      </c>
      <c r="H57" s="728">
        <v>3922.7058000000002</v>
      </c>
      <c r="L57" s="3"/>
      <c r="M57" s="3"/>
    </row>
    <row r="58" spans="1:13">
      <c r="A58" s="323" t="s">
        <v>2642</v>
      </c>
      <c r="B58" s="292">
        <v>2.5</v>
      </c>
      <c r="C58" s="292">
        <v>6</v>
      </c>
      <c r="D58" s="293">
        <v>2700</v>
      </c>
      <c r="E58" s="294" t="s">
        <v>2347</v>
      </c>
      <c r="F58" s="319">
        <v>2987.99</v>
      </c>
      <c r="G58" s="313">
        <v>2115.0429300000005</v>
      </c>
      <c r="H58" s="728">
        <v>4052.0504699999997</v>
      </c>
      <c r="L58" s="3"/>
      <c r="M58" s="3"/>
    </row>
    <row r="59" spans="1:13">
      <c r="A59" s="323" t="s">
        <v>2643</v>
      </c>
      <c r="B59" s="292">
        <v>2.5</v>
      </c>
      <c r="C59" s="292">
        <v>6</v>
      </c>
      <c r="D59" s="293">
        <v>2800</v>
      </c>
      <c r="E59" s="294" t="s">
        <v>2347</v>
      </c>
      <c r="F59" s="319">
        <v>3077.82</v>
      </c>
      <c r="G59" s="313">
        <v>2178.6336000000001</v>
      </c>
      <c r="H59" s="728">
        <v>4181.3951400000005</v>
      </c>
      <c r="L59" s="3"/>
      <c r="M59" s="3"/>
    </row>
    <row r="60" spans="1:13">
      <c r="A60" s="323" t="s">
        <v>2644</v>
      </c>
      <c r="B60" s="292">
        <v>2.5</v>
      </c>
      <c r="C60" s="292">
        <v>6</v>
      </c>
      <c r="D60" s="293">
        <v>2900</v>
      </c>
      <c r="E60" s="294" t="s">
        <v>2347</v>
      </c>
      <c r="F60" s="319">
        <v>3167.67</v>
      </c>
      <c r="G60" s="313">
        <v>2242.2371400000002</v>
      </c>
      <c r="H60" s="728">
        <v>4310.73981</v>
      </c>
      <c r="L60" s="3"/>
      <c r="M60" s="3"/>
    </row>
    <row r="61" spans="1:13" ht="14.95" thickBot="1">
      <c r="A61" s="324" t="s">
        <v>2645</v>
      </c>
      <c r="B61" s="296">
        <v>2.5</v>
      </c>
      <c r="C61" s="296">
        <v>6</v>
      </c>
      <c r="D61" s="297">
        <v>3000</v>
      </c>
      <c r="E61" s="298" t="s">
        <v>2347</v>
      </c>
      <c r="F61" s="320">
        <v>3257.51</v>
      </c>
      <c r="G61" s="315">
        <v>2305.8278100000002</v>
      </c>
      <c r="H61" s="729">
        <v>4440.10437</v>
      </c>
      <c r="L61" s="3"/>
      <c r="M61" s="3"/>
    </row>
    <row r="62" spans="1:13" ht="16.3" thickBot="1">
      <c r="A62" s="934" t="s">
        <v>2706</v>
      </c>
      <c r="B62" s="935"/>
      <c r="C62" s="935"/>
      <c r="D62" s="935"/>
      <c r="E62" s="935"/>
      <c r="F62" s="935"/>
      <c r="G62" s="935"/>
      <c r="H62" s="936"/>
      <c r="L62" s="3"/>
      <c r="M62" s="3"/>
    </row>
    <row r="63" spans="1:13" ht="14.95" thickBot="1">
      <c r="A63" s="322" t="s">
        <v>2646</v>
      </c>
      <c r="B63" s="300">
        <v>2.5</v>
      </c>
      <c r="C63" s="300">
        <v>6</v>
      </c>
      <c r="D63" s="301">
        <v>200</v>
      </c>
      <c r="E63" s="302" t="s">
        <v>2347</v>
      </c>
      <c r="F63" s="318">
        <v>643.46</v>
      </c>
      <c r="G63" s="303">
        <v>455.46930000000003</v>
      </c>
      <c r="H63" s="727">
        <v>748.42091999999991</v>
      </c>
      <c r="L63" s="3"/>
      <c r="M63" s="3"/>
    </row>
    <row r="64" spans="1:13">
      <c r="A64" s="323" t="s">
        <v>2647</v>
      </c>
      <c r="B64" s="292">
        <v>2.5</v>
      </c>
      <c r="C64" s="292">
        <v>6</v>
      </c>
      <c r="D64" s="293">
        <v>300</v>
      </c>
      <c r="E64" s="294" t="s">
        <v>2347</v>
      </c>
      <c r="F64" s="319">
        <v>701.07</v>
      </c>
      <c r="G64" s="303">
        <v>496.2543300000001</v>
      </c>
      <c r="H64" s="727">
        <v>835.67834999999991</v>
      </c>
      <c r="L64" s="3"/>
      <c r="M64" s="3"/>
    </row>
    <row r="65" spans="1:13">
      <c r="A65" s="323" t="s">
        <v>2648</v>
      </c>
      <c r="B65" s="292">
        <v>2.5</v>
      </c>
      <c r="C65" s="292">
        <v>6</v>
      </c>
      <c r="D65" s="293">
        <v>400</v>
      </c>
      <c r="E65" s="294" t="s">
        <v>2347</v>
      </c>
      <c r="F65" s="319">
        <v>758.66</v>
      </c>
      <c r="G65" s="313">
        <v>537.01362000000006</v>
      </c>
      <c r="H65" s="728">
        <v>922.91588999999999</v>
      </c>
      <c r="L65" s="3"/>
      <c r="M65" s="3"/>
    </row>
    <row r="66" spans="1:13">
      <c r="A66" s="323" t="s">
        <v>2649</v>
      </c>
      <c r="B66" s="292">
        <v>2.5</v>
      </c>
      <c r="C66" s="292">
        <v>6</v>
      </c>
      <c r="D66" s="293">
        <v>500</v>
      </c>
      <c r="E66" s="294" t="s">
        <v>2347</v>
      </c>
      <c r="F66" s="319">
        <v>816.28</v>
      </c>
      <c r="G66" s="313">
        <v>577.79865000000007</v>
      </c>
      <c r="H66" s="728">
        <v>1010.1932099999998</v>
      </c>
      <c r="L66" s="3"/>
      <c r="M66" s="3"/>
    </row>
    <row r="67" spans="1:13">
      <c r="A67" s="323" t="s">
        <v>2650</v>
      </c>
      <c r="B67" s="292">
        <v>2.5</v>
      </c>
      <c r="C67" s="292">
        <v>6</v>
      </c>
      <c r="D67" s="293">
        <v>600</v>
      </c>
      <c r="E67" s="294" t="s">
        <v>2347</v>
      </c>
      <c r="F67" s="319">
        <v>873.9</v>
      </c>
      <c r="G67" s="313">
        <v>618.59655000000009</v>
      </c>
      <c r="H67" s="728">
        <v>1097.45064</v>
      </c>
      <c r="L67" s="3"/>
      <c r="M67" s="3"/>
    </row>
    <row r="68" spans="1:13">
      <c r="A68" s="323" t="s">
        <v>2651</v>
      </c>
      <c r="B68" s="292">
        <v>2.5</v>
      </c>
      <c r="C68" s="292">
        <v>6</v>
      </c>
      <c r="D68" s="293">
        <v>700</v>
      </c>
      <c r="E68" s="294" t="s">
        <v>2347</v>
      </c>
      <c r="F68" s="319">
        <v>931.5</v>
      </c>
      <c r="G68" s="313">
        <v>659.36871000000019</v>
      </c>
      <c r="H68" s="728">
        <v>1184.7080700000001</v>
      </c>
      <c r="L68" s="3"/>
      <c r="M68" s="3"/>
    </row>
    <row r="69" spans="1:13">
      <c r="A69" s="323" t="s">
        <v>2652</v>
      </c>
      <c r="B69" s="292">
        <v>2.5</v>
      </c>
      <c r="C69" s="292">
        <v>6</v>
      </c>
      <c r="D69" s="293">
        <v>800</v>
      </c>
      <c r="E69" s="294" t="s">
        <v>2347</v>
      </c>
      <c r="F69" s="319">
        <v>989.1</v>
      </c>
      <c r="G69" s="313">
        <v>700.14087000000006</v>
      </c>
      <c r="H69" s="728">
        <v>1271.9655</v>
      </c>
      <c r="L69" s="3"/>
      <c r="M69" s="3"/>
    </row>
    <row r="70" spans="1:13">
      <c r="A70" s="323" t="s">
        <v>2653</v>
      </c>
      <c r="B70" s="292">
        <v>2.5</v>
      </c>
      <c r="C70" s="292">
        <v>6</v>
      </c>
      <c r="D70" s="293">
        <v>900</v>
      </c>
      <c r="E70" s="294" t="s">
        <v>2347</v>
      </c>
      <c r="F70" s="319">
        <v>1046.72</v>
      </c>
      <c r="G70" s="313">
        <v>740.92590000000018</v>
      </c>
      <c r="H70" s="728">
        <v>1359.2030399999999</v>
      </c>
      <c r="L70" s="3"/>
      <c r="M70" s="3"/>
    </row>
    <row r="71" spans="1:13">
      <c r="A71" s="323" t="s">
        <v>2654</v>
      </c>
      <c r="B71" s="292">
        <v>2.5</v>
      </c>
      <c r="C71" s="292">
        <v>6</v>
      </c>
      <c r="D71" s="293">
        <v>1000</v>
      </c>
      <c r="E71" s="294" t="s">
        <v>2347</v>
      </c>
      <c r="F71" s="319">
        <v>1122.94</v>
      </c>
      <c r="G71" s="313">
        <v>794.8769400000001</v>
      </c>
      <c r="H71" s="728">
        <v>1466.8079400000001</v>
      </c>
      <c r="L71" s="3"/>
      <c r="M71" s="3"/>
    </row>
    <row r="72" spans="1:13">
      <c r="A72" s="323" t="s">
        <v>2655</v>
      </c>
      <c r="B72" s="292">
        <v>2.5</v>
      </c>
      <c r="C72" s="292">
        <v>6</v>
      </c>
      <c r="D72" s="293">
        <v>1100</v>
      </c>
      <c r="E72" s="294" t="s">
        <v>2347</v>
      </c>
      <c r="F72" s="319">
        <v>1180.53</v>
      </c>
      <c r="G72" s="313">
        <v>835.63623000000007</v>
      </c>
      <c r="H72" s="728">
        <v>1554.0454800000002</v>
      </c>
      <c r="L72" s="3"/>
      <c r="M72" s="3"/>
    </row>
    <row r="73" spans="1:13">
      <c r="A73" s="323" t="s">
        <v>2656</v>
      </c>
      <c r="B73" s="292">
        <v>2.5</v>
      </c>
      <c r="C73" s="292">
        <v>6</v>
      </c>
      <c r="D73" s="293">
        <v>1200</v>
      </c>
      <c r="E73" s="294" t="s">
        <v>2347</v>
      </c>
      <c r="F73" s="319">
        <v>1238.1400000000001</v>
      </c>
      <c r="G73" s="313">
        <v>876.42126000000019</v>
      </c>
      <c r="H73" s="728">
        <v>1641.3029100000001</v>
      </c>
      <c r="L73" s="3"/>
      <c r="M73" s="3"/>
    </row>
    <row r="74" spans="1:13">
      <c r="A74" s="323" t="s">
        <v>2657</v>
      </c>
      <c r="B74" s="292">
        <v>2.5</v>
      </c>
      <c r="C74" s="292">
        <v>6</v>
      </c>
      <c r="D74" s="293">
        <v>1300</v>
      </c>
      <c r="E74" s="294" t="s">
        <v>2347</v>
      </c>
      <c r="F74" s="319">
        <v>1295.74</v>
      </c>
      <c r="G74" s="313">
        <v>917.19342000000006</v>
      </c>
      <c r="H74" s="728">
        <v>1728.5802300000003</v>
      </c>
      <c r="L74" s="3"/>
      <c r="M74" s="3"/>
    </row>
    <row r="75" spans="1:13">
      <c r="A75" s="323" t="s">
        <v>2658</v>
      </c>
      <c r="B75" s="292">
        <v>2.5</v>
      </c>
      <c r="C75" s="292">
        <v>6</v>
      </c>
      <c r="D75" s="293">
        <v>1400</v>
      </c>
      <c r="E75" s="294" t="s">
        <v>2347</v>
      </c>
      <c r="F75" s="319">
        <v>1353.35</v>
      </c>
      <c r="G75" s="313">
        <v>957.96558000000016</v>
      </c>
      <c r="H75" s="728">
        <v>1815.8177699999999</v>
      </c>
      <c r="L75" s="3"/>
      <c r="M75" s="3"/>
    </row>
    <row r="76" spans="1:13">
      <c r="A76" s="323" t="s">
        <v>2659</v>
      </c>
      <c r="B76" s="292">
        <v>2.5</v>
      </c>
      <c r="C76" s="292">
        <v>6</v>
      </c>
      <c r="D76" s="293">
        <v>1500</v>
      </c>
      <c r="E76" s="294" t="s">
        <v>2347</v>
      </c>
      <c r="F76" s="319">
        <v>1410.95</v>
      </c>
      <c r="G76" s="313">
        <v>998.73774000000003</v>
      </c>
      <c r="H76" s="728">
        <v>1903.0751999999998</v>
      </c>
      <c r="L76" s="3"/>
      <c r="M76" s="3"/>
    </row>
    <row r="77" spans="1:13">
      <c r="A77" s="323" t="s">
        <v>2660</v>
      </c>
      <c r="B77" s="292">
        <v>2.5</v>
      </c>
      <c r="C77" s="292">
        <v>6</v>
      </c>
      <c r="D77" s="293">
        <v>1600</v>
      </c>
      <c r="E77" s="294" t="s">
        <v>2347</v>
      </c>
      <c r="F77" s="319">
        <v>1468.56</v>
      </c>
      <c r="G77" s="313">
        <v>1039.5227700000003</v>
      </c>
      <c r="H77" s="728">
        <v>1990.3326300000001</v>
      </c>
      <c r="L77" s="3"/>
      <c r="M77" s="3"/>
    </row>
    <row r="78" spans="1:13">
      <c r="A78" s="323" t="s">
        <v>2661</v>
      </c>
      <c r="B78" s="292">
        <v>2.5</v>
      </c>
      <c r="C78" s="292">
        <v>6</v>
      </c>
      <c r="D78" s="293">
        <v>1700</v>
      </c>
      <c r="E78" s="294" t="s">
        <v>2347</v>
      </c>
      <c r="F78" s="319">
        <v>1526.19</v>
      </c>
      <c r="G78" s="313">
        <v>1080.3078000000003</v>
      </c>
      <c r="H78" s="728">
        <v>2077.57017</v>
      </c>
      <c r="L78" s="3"/>
      <c r="M78" s="3"/>
    </row>
    <row r="79" spans="1:13">
      <c r="A79" s="323" t="s">
        <v>2662</v>
      </c>
      <c r="B79" s="292">
        <v>2.5</v>
      </c>
      <c r="C79" s="292">
        <v>6</v>
      </c>
      <c r="D79" s="293">
        <v>1800</v>
      </c>
      <c r="E79" s="294" t="s">
        <v>2347</v>
      </c>
      <c r="F79" s="319">
        <v>1583.79</v>
      </c>
      <c r="G79" s="313">
        <v>1121.07996</v>
      </c>
      <c r="H79" s="728">
        <v>2164.8276000000001</v>
      </c>
      <c r="L79" s="3"/>
      <c r="M79" s="3"/>
    </row>
    <row r="80" spans="1:13">
      <c r="A80" s="323" t="s">
        <v>2663</v>
      </c>
      <c r="B80" s="292">
        <v>2.5</v>
      </c>
      <c r="C80" s="292">
        <v>6</v>
      </c>
      <c r="D80" s="293">
        <v>1900</v>
      </c>
      <c r="E80" s="294" t="s">
        <v>2347</v>
      </c>
      <c r="F80" s="319">
        <v>1641.4</v>
      </c>
      <c r="G80" s="313">
        <v>1161.8649900000003</v>
      </c>
      <c r="H80" s="728">
        <v>2252.0850300000002</v>
      </c>
      <c r="L80" s="3"/>
      <c r="M80" s="3"/>
    </row>
    <row r="81" spans="1:13">
      <c r="A81" s="323" t="s">
        <v>2664</v>
      </c>
      <c r="B81" s="292">
        <v>2.5</v>
      </c>
      <c r="C81" s="292">
        <v>6</v>
      </c>
      <c r="D81" s="293">
        <v>2000</v>
      </c>
      <c r="E81" s="294" t="s">
        <v>2347</v>
      </c>
      <c r="F81" s="319">
        <v>1699.01</v>
      </c>
      <c r="G81" s="313">
        <v>1202.65002</v>
      </c>
      <c r="H81" s="728">
        <v>2339.3225700000003</v>
      </c>
      <c r="L81" s="3"/>
      <c r="M81" s="3"/>
    </row>
    <row r="82" spans="1:13">
      <c r="A82" s="323" t="s">
        <v>2665</v>
      </c>
      <c r="B82" s="292">
        <v>2.5</v>
      </c>
      <c r="C82" s="292">
        <v>6</v>
      </c>
      <c r="D82" s="293">
        <v>2100</v>
      </c>
      <c r="E82" s="294" t="s">
        <v>2347</v>
      </c>
      <c r="F82" s="319">
        <v>1756.61</v>
      </c>
      <c r="G82" s="313">
        <v>1243.4221800000003</v>
      </c>
      <c r="H82" s="728">
        <v>2426.58</v>
      </c>
      <c r="L82" s="3"/>
      <c r="M82" s="3"/>
    </row>
    <row r="83" spans="1:13">
      <c r="A83" s="323" t="s">
        <v>2666</v>
      </c>
      <c r="B83" s="292">
        <v>2.5</v>
      </c>
      <c r="C83" s="292">
        <v>6</v>
      </c>
      <c r="D83" s="293">
        <v>2200</v>
      </c>
      <c r="E83" s="294" t="s">
        <v>2347</v>
      </c>
      <c r="F83" s="319">
        <v>1814.21</v>
      </c>
      <c r="G83" s="313">
        <v>1284.1943400000002</v>
      </c>
      <c r="H83" s="728">
        <v>2513.83743</v>
      </c>
      <c r="L83" s="3"/>
      <c r="M83" s="3"/>
    </row>
    <row r="84" spans="1:13">
      <c r="A84" s="323" t="s">
        <v>2667</v>
      </c>
      <c r="B84" s="292">
        <v>2.5</v>
      </c>
      <c r="C84" s="292">
        <v>6</v>
      </c>
      <c r="D84" s="293">
        <v>2300</v>
      </c>
      <c r="E84" s="294" t="s">
        <v>2347</v>
      </c>
      <c r="F84" s="319">
        <v>1871.82</v>
      </c>
      <c r="G84" s="313">
        <v>1324.9665000000002</v>
      </c>
      <c r="H84" s="728">
        <v>2601.0948600000002</v>
      </c>
      <c r="L84" s="3"/>
      <c r="M84" s="3"/>
    </row>
    <row r="85" spans="1:13">
      <c r="A85" s="323" t="s">
        <v>2668</v>
      </c>
      <c r="B85" s="292">
        <v>2.5</v>
      </c>
      <c r="C85" s="292">
        <v>6</v>
      </c>
      <c r="D85" s="293">
        <v>2400</v>
      </c>
      <c r="E85" s="294" t="s">
        <v>2347</v>
      </c>
      <c r="F85" s="319">
        <v>1929.41</v>
      </c>
      <c r="G85" s="313">
        <v>1365.7386600000004</v>
      </c>
      <c r="H85" s="728">
        <v>2688.3522899999998</v>
      </c>
      <c r="L85" s="3"/>
      <c r="M85" s="3"/>
    </row>
    <row r="86" spans="1:13">
      <c r="A86" s="323" t="s">
        <v>2669</v>
      </c>
      <c r="B86" s="292">
        <v>2.5</v>
      </c>
      <c r="C86" s="292">
        <v>6</v>
      </c>
      <c r="D86" s="293">
        <v>2500</v>
      </c>
      <c r="E86" s="294" t="s">
        <v>2347</v>
      </c>
      <c r="F86" s="319">
        <v>1987.03</v>
      </c>
      <c r="G86" s="313">
        <v>1406.52369</v>
      </c>
      <c r="H86" s="728">
        <v>2775.6097199999999</v>
      </c>
      <c r="L86" s="3"/>
      <c r="M86" s="3"/>
    </row>
    <row r="87" spans="1:13">
      <c r="A87" s="323" t="s">
        <v>2670</v>
      </c>
      <c r="B87" s="292">
        <v>2.5</v>
      </c>
      <c r="C87" s="292">
        <v>6</v>
      </c>
      <c r="D87" s="293">
        <v>2600</v>
      </c>
      <c r="E87" s="294" t="s">
        <v>2347</v>
      </c>
      <c r="F87" s="319">
        <v>2044.65</v>
      </c>
      <c r="G87" s="313">
        <v>1447.30872</v>
      </c>
      <c r="H87" s="728">
        <v>2862.84726</v>
      </c>
      <c r="L87" s="3"/>
      <c r="M87" s="3"/>
    </row>
    <row r="88" spans="1:13">
      <c r="A88" s="323" t="s">
        <v>2671</v>
      </c>
      <c r="B88" s="292">
        <v>2.5</v>
      </c>
      <c r="C88" s="292">
        <v>6</v>
      </c>
      <c r="D88" s="293">
        <v>2700</v>
      </c>
      <c r="E88" s="294" t="s">
        <v>2347</v>
      </c>
      <c r="F88" s="319">
        <v>2102.27</v>
      </c>
      <c r="G88" s="313">
        <v>1488.0937500000002</v>
      </c>
      <c r="H88" s="728">
        <v>2950.1046900000001</v>
      </c>
      <c r="L88" s="3"/>
      <c r="M88" s="3"/>
    </row>
    <row r="89" spans="1:13">
      <c r="A89" s="323" t="s">
        <v>2672</v>
      </c>
      <c r="B89" s="292">
        <v>2.5</v>
      </c>
      <c r="C89" s="292">
        <v>6</v>
      </c>
      <c r="D89" s="293">
        <v>2800</v>
      </c>
      <c r="E89" s="294" t="s">
        <v>2347</v>
      </c>
      <c r="F89" s="319">
        <v>2159.85</v>
      </c>
      <c r="G89" s="313">
        <v>1528.8530400000002</v>
      </c>
      <c r="H89" s="728">
        <v>3037.3621200000002</v>
      </c>
      <c r="L89" s="3"/>
      <c r="M89" s="3"/>
    </row>
    <row r="90" spans="1:13">
      <c r="A90" s="323" t="s">
        <v>2673</v>
      </c>
      <c r="B90" s="292">
        <v>2.5</v>
      </c>
      <c r="C90" s="292">
        <v>6</v>
      </c>
      <c r="D90" s="293">
        <v>2900</v>
      </c>
      <c r="E90" s="294" t="s">
        <v>2347</v>
      </c>
      <c r="F90" s="319">
        <v>2217.4699999999998</v>
      </c>
      <c r="G90" s="313">
        <v>1569.6380700000002</v>
      </c>
      <c r="H90" s="728">
        <v>3124.6195499999999</v>
      </c>
      <c r="L90" s="3"/>
      <c r="M90" s="3"/>
    </row>
    <row r="91" spans="1:13" ht="14.95" thickBot="1">
      <c r="A91" s="324" t="s">
        <v>2674</v>
      </c>
      <c r="B91" s="296">
        <v>2.5</v>
      </c>
      <c r="C91" s="296">
        <v>6</v>
      </c>
      <c r="D91" s="297">
        <v>3000</v>
      </c>
      <c r="E91" s="298" t="s">
        <v>2347</v>
      </c>
      <c r="F91" s="320">
        <v>2275.0700000000002</v>
      </c>
      <c r="G91" s="313">
        <v>1610.41023</v>
      </c>
      <c r="H91" s="728">
        <v>3211.87698</v>
      </c>
      <c r="L91" s="3"/>
      <c r="M91" s="3"/>
    </row>
    <row r="92" spans="1:13" ht="16.3" thickBot="1">
      <c r="A92" s="934" t="s">
        <v>2707</v>
      </c>
      <c r="B92" s="935"/>
      <c r="C92" s="935"/>
      <c r="D92" s="935"/>
      <c r="E92" s="935"/>
      <c r="F92" s="935"/>
      <c r="G92" s="935"/>
      <c r="H92" s="936"/>
      <c r="L92" s="3"/>
      <c r="M92" s="3"/>
    </row>
    <row r="93" spans="1:13">
      <c r="A93" s="325" t="s">
        <v>2675</v>
      </c>
      <c r="B93" s="284">
        <v>2.5</v>
      </c>
      <c r="C93" s="284">
        <v>6</v>
      </c>
      <c r="D93" s="285">
        <v>200</v>
      </c>
      <c r="E93" s="286" t="s">
        <v>2347</v>
      </c>
      <c r="F93" s="321">
        <v>791.95</v>
      </c>
      <c r="G93" s="327">
        <v>560.57859000000008</v>
      </c>
      <c r="H93" s="730">
        <v>920.72798999999998</v>
      </c>
      <c r="L93" s="3"/>
      <c r="M93" s="3"/>
    </row>
    <row r="94" spans="1:13">
      <c r="A94" s="323" t="s">
        <v>2676</v>
      </c>
      <c r="B94" s="292">
        <v>2.5</v>
      </c>
      <c r="C94" s="292">
        <v>6</v>
      </c>
      <c r="D94" s="293">
        <v>300</v>
      </c>
      <c r="E94" s="294" t="s">
        <v>2347</v>
      </c>
      <c r="F94" s="319">
        <v>917.37</v>
      </c>
      <c r="G94" s="313">
        <v>649.35585000000015</v>
      </c>
      <c r="H94" s="728">
        <v>1095.7202100000002</v>
      </c>
      <c r="L94" s="3"/>
      <c r="M94" s="3"/>
    </row>
    <row r="95" spans="1:13">
      <c r="A95" s="323" t="s">
        <v>2677</v>
      </c>
      <c r="B95" s="292">
        <v>2.5</v>
      </c>
      <c r="C95" s="292">
        <v>6</v>
      </c>
      <c r="D95" s="293">
        <v>400</v>
      </c>
      <c r="E95" s="294" t="s">
        <v>2347</v>
      </c>
      <c r="F95" s="319">
        <v>1042.82</v>
      </c>
      <c r="G95" s="313">
        <v>738.15885000000003</v>
      </c>
      <c r="H95" s="728">
        <v>1270.6726500000002</v>
      </c>
      <c r="L95" s="3"/>
      <c r="M95" s="3"/>
    </row>
    <row r="96" spans="1:13">
      <c r="A96" s="323" t="s">
        <v>2678</v>
      </c>
      <c r="B96" s="292">
        <v>2.5</v>
      </c>
      <c r="C96" s="292">
        <v>6</v>
      </c>
      <c r="D96" s="293">
        <v>500</v>
      </c>
      <c r="E96" s="294" t="s">
        <v>2347</v>
      </c>
      <c r="F96" s="319">
        <v>1168.26</v>
      </c>
      <c r="G96" s="313">
        <v>826.94898000000001</v>
      </c>
      <c r="H96" s="728">
        <v>1445.6847600000001</v>
      </c>
      <c r="L96" s="3"/>
      <c r="M96" s="3"/>
    </row>
    <row r="97" spans="1:13">
      <c r="A97" s="323" t="s">
        <v>2679</v>
      </c>
      <c r="B97" s="292">
        <v>2.5</v>
      </c>
      <c r="C97" s="292">
        <v>6</v>
      </c>
      <c r="D97" s="293">
        <v>600</v>
      </c>
      <c r="E97" s="294" t="s">
        <v>2347</v>
      </c>
      <c r="F97" s="319">
        <v>1293.71</v>
      </c>
      <c r="G97" s="313">
        <v>915.75198000000012</v>
      </c>
      <c r="H97" s="728">
        <v>1620.6769800000002</v>
      </c>
      <c r="L97" s="3"/>
      <c r="M97" s="3"/>
    </row>
    <row r="98" spans="1:13">
      <c r="A98" s="323" t="s">
        <v>2680</v>
      </c>
      <c r="B98" s="292">
        <v>2.5</v>
      </c>
      <c r="C98" s="292">
        <v>6</v>
      </c>
      <c r="D98" s="293">
        <v>700</v>
      </c>
      <c r="E98" s="294" t="s">
        <v>2347</v>
      </c>
      <c r="F98" s="319">
        <v>1419.15</v>
      </c>
      <c r="G98" s="313">
        <v>1004.5421100000001</v>
      </c>
      <c r="H98" s="728">
        <v>1795.6691999999996</v>
      </c>
      <c r="L98" s="3"/>
      <c r="M98" s="3"/>
    </row>
    <row r="99" spans="1:13">
      <c r="A99" s="323" t="s">
        <v>2681</v>
      </c>
      <c r="B99" s="292">
        <v>2.5</v>
      </c>
      <c r="C99" s="292">
        <v>6</v>
      </c>
      <c r="D99" s="293">
        <v>800</v>
      </c>
      <c r="E99" s="294" t="s">
        <v>2347</v>
      </c>
      <c r="F99" s="319">
        <v>1544.57</v>
      </c>
      <c r="G99" s="313">
        <v>1093.3193700000002</v>
      </c>
      <c r="H99" s="728">
        <v>1970.6216400000001</v>
      </c>
      <c r="L99" s="3"/>
      <c r="M99" s="3"/>
    </row>
    <row r="100" spans="1:13">
      <c r="A100" s="323" t="s">
        <v>2682</v>
      </c>
      <c r="B100" s="292">
        <v>2.5</v>
      </c>
      <c r="C100" s="292">
        <v>6</v>
      </c>
      <c r="D100" s="293">
        <v>900</v>
      </c>
      <c r="E100" s="294" t="s">
        <v>2347</v>
      </c>
      <c r="F100" s="319">
        <v>1670.01</v>
      </c>
      <c r="G100" s="313">
        <v>1182.1223700000003</v>
      </c>
      <c r="H100" s="728">
        <v>2145.63375</v>
      </c>
      <c r="L100" s="3"/>
      <c r="M100" s="3"/>
    </row>
    <row r="101" spans="1:13">
      <c r="A101" s="323" t="s">
        <v>2683</v>
      </c>
      <c r="B101" s="292">
        <v>2.5</v>
      </c>
      <c r="C101" s="292">
        <v>6</v>
      </c>
      <c r="D101" s="293">
        <v>1000</v>
      </c>
      <c r="E101" s="294" t="s">
        <v>2347</v>
      </c>
      <c r="F101" s="319">
        <v>1795.46</v>
      </c>
      <c r="G101" s="313">
        <v>1270.9125000000001</v>
      </c>
      <c r="H101" s="728">
        <v>2320.6259700000001</v>
      </c>
      <c r="L101" s="3"/>
      <c r="M101" s="3"/>
    </row>
    <row r="102" spans="1:13">
      <c r="A102" s="323" t="s">
        <v>2684</v>
      </c>
      <c r="B102" s="292">
        <v>2.5</v>
      </c>
      <c r="C102" s="292">
        <v>6</v>
      </c>
      <c r="D102" s="293">
        <v>1100</v>
      </c>
      <c r="E102" s="294" t="s">
        <v>2347</v>
      </c>
      <c r="F102" s="319">
        <v>1937.06</v>
      </c>
      <c r="G102" s="313">
        <v>1371.1440600000003</v>
      </c>
      <c r="H102" s="728">
        <v>2495.5784100000005</v>
      </c>
      <c r="L102" s="3"/>
      <c r="M102" s="3"/>
    </row>
    <row r="103" spans="1:13">
      <c r="A103" s="323" t="s">
        <v>2685</v>
      </c>
      <c r="B103" s="292">
        <v>2.5</v>
      </c>
      <c r="C103" s="292">
        <v>6</v>
      </c>
      <c r="D103" s="293">
        <v>1200</v>
      </c>
      <c r="E103" s="294" t="s">
        <v>2347</v>
      </c>
      <c r="F103" s="319">
        <v>2062.5</v>
      </c>
      <c r="G103" s="313">
        <v>1459.9470600000004</v>
      </c>
      <c r="H103" s="728">
        <v>2670.5905200000002</v>
      </c>
      <c r="L103" s="3"/>
      <c r="M103" s="3"/>
    </row>
    <row r="104" spans="1:13">
      <c r="A104" s="323" t="s">
        <v>2686</v>
      </c>
      <c r="B104" s="292">
        <v>2.5</v>
      </c>
      <c r="C104" s="292">
        <v>6</v>
      </c>
      <c r="D104" s="293">
        <v>1300</v>
      </c>
      <c r="E104" s="294" t="s">
        <v>2347</v>
      </c>
      <c r="F104" s="319">
        <v>2187.9699999999998</v>
      </c>
      <c r="G104" s="313">
        <v>1548.7500600000003</v>
      </c>
      <c r="H104" s="728">
        <v>2845.5628500000003</v>
      </c>
      <c r="L104" s="3"/>
      <c r="M104" s="3"/>
    </row>
    <row r="105" spans="1:13">
      <c r="A105" s="323" t="s">
        <v>2687</v>
      </c>
      <c r="B105" s="292">
        <v>2.5</v>
      </c>
      <c r="C105" s="292">
        <v>6</v>
      </c>
      <c r="D105" s="293">
        <v>1400</v>
      </c>
      <c r="E105" s="294" t="s">
        <v>2347</v>
      </c>
      <c r="F105" s="319">
        <v>2313.4</v>
      </c>
      <c r="G105" s="313">
        <v>1637.5401900000002</v>
      </c>
      <c r="H105" s="728">
        <v>3020.5550700000003</v>
      </c>
      <c r="L105" s="3"/>
      <c r="M105" s="3"/>
    </row>
    <row r="106" spans="1:13">
      <c r="A106" s="323" t="s">
        <v>2688</v>
      </c>
      <c r="B106" s="292">
        <v>2.5</v>
      </c>
      <c r="C106" s="292">
        <v>6</v>
      </c>
      <c r="D106" s="293">
        <v>1500</v>
      </c>
      <c r="E106" s="294" t="s">
        <v>2347</v>
      </c>
      <c r="F106" s="319">
        <v>2438.85</v>
      </c>
      <c r="G106" s="313">
        <v>1726.3431900000003</v>
      </c>
      <c r="H106" s="728">
        <v>3195.54729</v>
      </c>
      <c r="L106" s="3"/>
      <c r="M106" s="3"/>
    </row>
    <row r="107" spans="1:13">
      <c r="A107" s="323" t="s">
        <v>2689</v>
      </c>
      <c r="B107" s="292">
        <v>2.5</v>
      </c>
      <c r="C107" s="292">
        <v>6</v>
      </c>
      <c r="D107" s="293">
        <v>1600</v>
      </c>
      <c r="E107" s="294" t="s">
        <v>2347</v>
      </c>
      <c r="F107" s="319">
        <v>2564.25</v>
      </c>
      <c r="G107" s="313">
        <v>1815.1075800000001</v>
      </c>
      <c r="H107" s="728">
        <v>3370.5196200000005</v>
      </c>
      <c r="L107" s="3"/>
      <c r="M107" s="3"/>
    </row>
    <row r="108" spans="1:13">
      <c r="A108" s="323" t="s">
        <v>2690</v>
      </c>
      <c r="B108" s="292">
        <v>2.5</v>
      </c>
      <c r="C108" s="292">
        <v>6</v>
      </c>
      <c r="D108" s="293">
        <v>1700</v>
      </c>
      <c r="E108" s="294" t="s">
        <v>2347</v>
      </c>
      <c r="F108" s="319">
        <v>2689.69</v>
      </c>
      <c r="G108" s="313">
        <v>1903.8977100000002</v>
      </c>
      <c r="H108" s="728">
        <v>3545.5118400000001</v>
      </c>
      <c r="L108" s="3"/>
      <c r="M108" s="3"/>
    </row>
    <row r="109" spans="1:13">
      <c r="A109" s="323" t="s">
        <v>2691</v>
      </c>
      <c r="B109" s="292">
        <v>2.5</v>
      </c>
      <c r="C109" s="292">
        <v>6</v>
      </c>
      <c r="D109" s="293">
        <v>1800</v>
      </c>
      <c r="E109" s="294" t="s">
        <v>2347</v>
      </c>
      <c r="F109" s="319">
        <v>2815.13</v>
      </c>
      <c r="G109" s="313">
        <v>1992.6878400000003</v>
      </c>
      <c r="H109" s="728">
        <v>3720.4841699999993</v>
      </c>
      <c r="L109" s="3"/>
      <c r="M109" s="3"/>
    </row>
    <row r="110" spans="1:13">
      <c r="A110" s="323" t="s">
        <v>2692</v>
      </c>
      <c r="B110" s="292">
        <v>2.5</v>
      </c>
      <c r="C110" s="292">
        <v>6</v>
      </c>
      <c r="D110" s="293">
        <v>1900</v>
      </c>
      <c r="E110" s="294" t="s">
        <v>2347</v>
      </c>
      <c r="F110" s="319">
        <v>2940.58</v>
      </c>
      <c r="G110" s="313">
        <v>2081.4908400000004</v>
      </c>
      <c r="H110" s="728">
        <v>3895.4962800000003</v>
      </c>
      <c r="L110" s="3"/>
      <c r="M110" s="3"/>
    </row>
    <row r="111" spans="1:13">
      <c r="A111" s="323" t="s">
        <v>2693</v>
      </c>
      <c r="B111" s="292">
        <v>2.5</v>
      </c>
      <c r="C111" s="292">
        <v>6</v>
      </c>
      <c r="D111" s="293">
        <v>2000</v>
      </c>
      <c r="E111" s="294" t="s">
        <v>2347</v>
      </c>
      <c r="F111" s="319">
        <v>3066.02</v>
      </c>
      <c r="G111" s="313">
        <v>2170.2809700000003</v>
      </c>
      <c r="H111" s="728">
        <v>4070.4885000000004</v>
      </c>
      <c r="L111" s="3"/>
      <c r="M111" s="3"/>
    </row>
    <row r="112" spans="1:13">
      <c r="A112" s="323" t="s">
        <v>2694</v>
      </c>
      <c r="B112" s="292">
        <v>2.5</v>
      </c>
      <c r="C112" s="292">
        <v>6</v>
      </c>
      <c r="D112" s="293">
        <v>2100</v>
      </c>
      <c r="E112" s="294" t="s">
        <v>2347</v>
      </c>
      <c r="F112" s="319">
        <v>3207.65</v>
      </c>
      <c r="G112" s="313">
        <v>2270.5382700000005</v>
      </c>
      <c r="H112" s="728">
        <v>4245.4409400000004</v>
      </c>
      <c r="L112" s="3"/>
      <c r="M112" s="3"/>
    </row>
    <row r="113" spans="1:13">
      <c r="A113" s="323" t="s">
        <v>2695</v>
      </c>
      <c r="B113" s="292">
        <v>2.5</v>
      </c>
      <c r="C113" s="292">
        <v>6</v>
      </c>
      <c r="D113" s="293">
        <v>2200</v>
      </c>
      <c r="E113" s="294" t="s">
        <v>2347</v>
      </c>
      <c r="F113" s="319">
        <v>3333.09</v>
      </c>
      <c r="G113" s="313">
        <v>2359.3284000000008</v>
      </c>
      <c r="H113" s="728">
        <v>4420.41327</v>
      </c>
      <c r="L113" s="3"/>
      <c r="M113" s="3"/>
    </row>
    <row r="114" spans="1:13">
      <c r="A114" s="323" t="s">
        <v>2696</v>
      </c>
      <c r="B114" s="292">
        <v>2.5</v>
      </c>
      <c r="C114" s="292">
        <v>6</v>
      </c>
      <c r="D114" s="293">
        <v>2300</v>
      </c>
      <c r="E114" s="294" t="s">
        <v>2347</v>
      </c>
      <c r="F114" s="319">
        <v>3458.53</v>
      </c>
      <c r="G114" s="313">
        <v>2448.1185300000002</v>
      </c>
      <c r="H114" s="728">
        <v>4595.4054900000001</v>
      </c>
      <c r="L114" s="3"/>
      <c r="M114" s="3"/>
    </row>
    <row r="115" spans="1:13">
      <c r="A115" s="323" t="s">
        <v>2697</v>
      </c>
      <c r="B115" s="292">
        <v>2.5</v>
      </c>
      <c r="C115" s="292">
        <v>6</v>
      </c>
      <c r="D115" s="293">
        <v>2400</v>
      </c>
      <c r="E115" s="294" t="s">
        <v>2347</v>
      </c>
      <c r="F115" s="319">
        <v>3583.95</v>
      </c>
      <c r="G115" s="313">
        <v>2536.89579</v>
      </c>
      <c r="H115" s="728">
        <v>4770.3977100000002</v>
      </c>
      <c r="L115" s="3"/>
      <c r="M115" s="3"/>
    </row>
    <row r="116" spans="1:13">
      <c r="A116" s="323" t="s">
        <v>2698</v>
      </c>
      <c r="B116" s="292">
        <v>2.5</v>
      </c>
      <c r="C116" s="292">
        <v>6</v>
      </c>
      <c r="D116" s="293">
        <v>2500</v>
      </c>
      <c r="E116" s="294" t="s">
        <v>2347</v>
      </c>
      <c r="F116" s="319">
        <v>3709.4</v>
      </c>
      <c r="G116" s="313">
        <v>2625.6987900000004</v>
      </c>
      <c r="H116" s="728">
        <v>4945.3899300000003</v>
      </c>
      <c r="L116" s="3"/>
      <c r="M116" s="3"/>
    </row>
    <row r="117" spans="1:13">
      <c r="A117" s="323" t="s">
        <v>2699</v>
      </c>
      <c r="B117" s="292">
        <v>2.5</v>
      </c>
      <c r="C117" s="292">
        <v>6</v>
      </c>
      <c r="D117" s="293">
        <v>2600</v>
      </c>
      <c r="E117" s="294" t="s">
        <v>2347</v>
      </c>
      <c r="F117" s="319">
        <v>3834.83</v>
      </c>
      <c r="G117" s="313">
        <v>2714.4889200000002</v>
      </c>
      <c r="H117" s="728">
        <v>5120.4020399999999</v>
      </c>
      <c r="L117" s="3"/>
      <c r="M117" s="3"/>
    </row>
    <row r="118" spans="1:13">
      <c r="A118" s="323" t="s">
        <v>2700</v>
      </c>
      <c r="B118" s="292">
        <v>2.5</v>
      </c>
      <c r="C118" s="292">
        <v>6</v>
      </c>
      <c r="D118" s="293">
        <v>2700</v>
      </c>
      <c r="E118" s="294" t="s">
        <v>2347</v>
      </c>
      <c r="F118" s="319">
        <v>3960.27</v>
      </c>
      <c r="G118" s="313">
        <v>2803.2790500000006</v>
      </c>
      <c r="H118" s="728">
        <v>5295.3544800000009</v>
      </c>
      <c r="L118" s="3"/>
      <c r="M118" s="3"/>
    </row>
    <row r="119" spans="1:13">
      <c r="A119" s="323" t="s">
        <v>2701</v>
      </c>
      <c r="B119" s="292">
        <v>2.5</v>
      </c>
      <c r="C119" s="292">
        <v>6</v>
      </c>
      <c r="D119" s="293">
        <v>2800</v>
      </c>
      <c r="E119" s="294" t="s">
        <v>2347</v>
      </c>
      <c r="F119" s="319">
        <v>4085.7</v>
      </c>
      <c r="G119" s="313">
        <v>2892.0691800000004</v>
      </c>
      <c r="H119" s="728">
        <v>5470.346700000001</v>
      </c>
      <c r="L119" s="3"/>
      <c r="M119" s="3"/>
    </row>
    <row r="120" spans="1:13">
      <c r="A120" s="323" t="s">
        <v>2702</v>
      </c>
      <c r="B120" s="292">
        <v>2.5</v>
      </c>
      <c r="C120" s="292">
        <v>6</v>
      </c>
      <c r="D120" s="293">
        <v>2900</v>
      </c>
      <c r="E120" s="294" t="s">
        <v>2347</v>
      </c>
      <c r="F120" s="319">
        <v>4211.1400000000003</v>
      </c>
      <c r="G120" s="313">
        <v>2980.8593100000003</v>
      </c>
      <c r="H120" s="728">
        <v>5645.3588099999997</v>
      </c>
      <c r="L120" s="3"/>
      <c r="M120" s="3"/>
    </row>
    <row r="121" spans="1:13" ht="14.95" thickBot="1">
      <c r="A121" s="324" t="s">
        <v>2703</v>
      </c>
      <c r="B121" s="296">
        <v>2.5</v>
      </c>
      <c r="C121" s="296">
        <v>6</v>
      </c>
      <c r="D121" s="297">
        <v>3000</v>
      </c>
      <c r="E121" s="298" t="s">
        <v>2347</v>
      </c>
      <c r="F121" s="320">
        <v>4336.58</v>
      </c>
      <c r="G121" s="315">
        <v>3069.6494400000001</v>
      </c>
      <c r="H121" s="729">
        <v>5820.3112499999997</v>
      </c>
      <c r="L121" s="3"/>
      <c r="M121" s="3"/>
    </row>
    <row r="122" spans="1:13" s="342" customFormat="1">
      <c r="A122" s="328"/>
      <c r="B122" s="328"/>
      <c r="C122" s="328"/>
      <c r="D122" s="328"/>
      <c r="E122" s="328"/>
      <c r="F122" s="328"/>
      <c r="G122" s="328"/>
      <c r="H122" s="328"/>
    </row>
    <row r="123" spans="1:13" s="342" customFormat="1">
      <c r="A123" s="328"/>
      <c r="B123" s="328"/>
      <c r="C123" s="328"/>
      <c r="D123" s="328"/>
      <c r="E123" s="328"/>
      <c r="F123" s="328"/>
      <c r="G123" s="328"/>
      <c r="H123" s="328"/>
    </row>
    <row r="124" spans="1:13" s="342" customFormat="1">
      <c r="A124" s="328"/>
      <c r="B124" s="328"/>
      <c r="C124" s="328"/>
      <c r="D124" s="328"/>
      <c r="E124" s="328"/>
      <c r="F124" s="328"/>
      <c r="G124" s="328"/>
      <c r="H124" s="328"/>
    </row>
    <row r="125" spans="1:13" s="342" customFormat="1">
      <c r="A125" s="328"/>
      <c r="B125" s="328"/>
      <c r="C125" s="328"/>
      <c r="D125" s="328"/>
      <c r="E125" s="328"/>
      <c r="F125" s="328"/>
      <c r="G125" s="328"/>
      <c r="H125" s="328"/>
    </row>
    <row r="126" spans="1:13" s="342" customFormat="1">
      <c r="A126" s="328"/>
      <c r="B126" s="328"/>
      <c r="C126" s="328"/>
      <c r="D126" s="328"/>
      <c r="E126" s="328"/>
      <c r="F126" s="328"/>
      <c r="G126" s="328"/>
      <c r="H126" s="328"/>
    </row>
    <row r="127" spans="1:13" s="342" customFormat="1">
      <c r="A127" s="328"/>
      <c r="B127" s="328"/>
      <c r="C127" s="328"/>
      <c r="D127" s="328"/>
      <c r="E127" s="328"/>
      <c r="F127" s="328"/>
      <c r="G127" s="328"/>
      <c r="H127" s="328"/>
    </row>
    <row r="128" spans="1:13" s="342" customFormat="1">
      <c r="A128" s="328"/>
      <c r="B128" s="328"/>
      <c r="C128" s="328"/>
      <c r="D128" s="328"/>
      <c r="E128" s="328"/>
      <c r="F128" s="328"/>
      <c r="G128" s="328"/>
      <c r="H128" s="328"/>
    </row>
    <row r="129" spans="1:8" s="342" customFormat="1">
      <c r="A129" s="328"/>
      <c r="B129" s="328"/>
      <c r="C129" s="328"/>
      <c r="D129" s="328"/>
      <c r="E129" s="328"/>
      <c r="F129" s="328"/>
      <c r="G129" s="328"/>
      <c r="H129" s="328"/>
    </row>
    <row r="130" spans="1:8" s="342" customFormat="1">
      <c r="A130" s="328"/>
      <c r="B130" s="328"/>
      <c r="C130" s="328"/>
      <c r="D130" s="328"/>
      <c r="E130" s="328"/>
      <c r="F130" s="328"/>
      <c r="G130" s="328"/>
      <c r="H130" s="328"/>
    </row>
    <row r="131" spans="1:8" s="342" customFormat="1">
      <c r="A131" s="328"/>
      <c r="B131" s="328"/>
      <c r="C131" s="328"/>
      <c r="D131" s="328"/>
      <c r="E131" s="328"/>
      <c r="F131" s="328"/>
      <c r="G131" s="328"/>
      <c r="H131" s="328"/>
    </row>
    <row r="132" spans="1:8" s="342" customFormat="1">
      <c r="A132" s="328"/>
      <c r="B132" s="328"/>
      <c r="C132" s="328"/>
      <c r="D132" s="328"/>
      <c r="E132" s="328"/>
      <c r="F132" s="328"/>
      <c r="G132" s="328"/>
      <c r="H132" s="328"/>
    </row>
    <row r="133" spans="1:8" s="342" customFormat="1">
      <c r="A133" s="328"/>
      <c r="B133" s="328"/>
      <c r="C133" s="328"/>
      <c r="D133" s="328"/>
      <c r="E133" s="328"/>
      <c r="F133" s="328"/>
      <c r="G133" s="328"/>
      <c r="H133" s="328"/>
    </row>
    <row r="134" spans="1:8" s="342" customFormat="1">
      <c r="A134" s="328"/>
      <c r="B134" s="328"/>
      <c r="C134" s="328"/>
      <c r="D134" s="328"/>
      <c r="E134" s="328"/>
      <c r="F134" s="328"/>
      <c r="G134" s="328"/>
      <c r="H134" s="328"/>
    </row>
    <row r="135" spans="1:8" s="342" customFormat="1">
      <c r="A135" s="328"/>
      <c r="B135" s="328"/>
      <c r="C135" s="328"/>
      <c r="D135" s="328"/>
      <c r="E135" s="328"/>
      <c r="F135" s="328"/>
      <c r="G135" s="328"/>
      <c r="H135" s="328"/>
    </row>
    <row r="136" spans="1:8" s="342" customFormat="1">
      <c r="A136" s="328"/>
      <c r="B136" s="328"/>
      <c r="C136" s="328"/>
      <c r="D136" s="328"/>
      <c r="E136" s="328"/>
      <c r="F136" s="328"/>
      <c r="G136" s="328"/>
      <c r="H136" s="328"/>
    </row>
    <row r="137" spans="1:8" s="342" customFormat="1">
      <c r="A137" s="328"/>
      <c r="B137" s="328"/>
      <c r="C137" s="328"/>
      <c r="D137" s="328"/>
      <c r="E137" s="328"/>
      <c r="F137" s="328"/>
      <c r="G137" s="328"/>
      <c r="H137" s="328"/>
    </row>
    <row r="138" spans="1:8" s="342" customFormat="1">
      <c r="A138" s="328"/>
      <c r="B138" s="328"/>
      <c r="C138" s="328"/>
      <c r="D138" s="328"/>
      <c r="E138" s="328"/>
      <c r="F138" s="328"/>
      <c r="G138" s="328"/>
      <c r="H138" s="328"/>
    </row>
    <row r="139" spans="1:8" s="342" customFormat="1">
      <c r="A139" s="328"/>
      <c r="B139" s="328"/>
      <c r="C139" s="328"/>
      <c r="D139" s="328"/>
      <c r="E139" s="328"/>
      <c r="F139" s="328"/>
      <c r="G139" s="328"/>
      <c r="H139" s="328"/>
    </row>
    <row r="140" spans="1:8" s="342" customFormat="1">
      <c r="A140" s="328"/>
      <c r="B140" s="328"/>
      <c r="C140" s="328"/>
      <c r="D140" s="328"/>
      <c r="E140" s="328"/>
      <c r="F140" s="328"/>
      <c r="G140" s="328"/>
      <c r="H140" s="328"/>
    </row>
    <row r="141" spans="1:8" s="342" customFormat="1">
      <c r="A141" s="328"/>
      <c r="B141" s="328"/>
      <c r="C141" s="328"/>
      <c r="D141" s="328"/>
      <c r="E141" s="328"/>
      <c r="F141" s="328"/>
      <c r="G141" s="328"/>
      <c r="H141" s="328"/>
    </row>
    <row r="142" spans="1:8" s="342" customFormat="1">
      <c r="A142" s="328"/>
      <c r="B142" s="328"/>
      <c r="C142" s="328"/>
      <c r="D142" s="328"/>
      <c r="E142" s="328"/>
      <c r="F142" s="328"/>
      <c r="G142" s="328"/>
      <c r="H142" s="328"/>
    </row>
    <row r="143" spans="1:8" s="342" customFormat="1">
      <c r="A143" s="328"/>
      <c r="B143" s="328"/>
      <c r="C143" s="328"/>
      <c r="D143" s="328"/>
      <c r="E143" s="328"/>
      <c r="F143" s="328"/>
      <c r="G143" s="328"/>
      <c r="H143" s="328"/>
    </row>
    <row r="144" spans="1:8" s="342" customFormat="1">
      <c r="A144" s="328"/>
      <c r="B144" s="328"/>
      <c r="C144" s="328"/>
      <c r="D144" s="328"/>
      <c r="E144" s="328"/>
      <c r="F144" s="328"/>
      <c r="G144" s="328"/>
      <c r="H144" s="328"/>
    </row>
    <row r="145" spans="1:8" s="342" customFormat="1">
      <c r="A145" s="328"/>
      <c r="B145" s="328"/>
      <c r="C145" s="328"/>
      <c r="D145" s="328"/>
      <c r="E145" s="328"/>
      <c r="F145" s="328"/>
      <c r="G145" s="328"/>
      <c r="H145" s="328"/>
    </row>
    <row r="146" spans="1:8" s="342" customFormat="1">
      <c r="A146" s="328"/>
      <c r="B146" s="328"/>
      <c r="C146" s="328"/>
      <c r="D146" s="328"/>
      <c r="E146" s="328"/>
      <c r="F146" s="328"/>
      <c r="G146" s="328"/>
      <c r="H146" s="328"/>
    </row>
    <row r="147" spans="1:8" s="342" customFormat="1">
      <c r="A147" s="328"/>
      <c r="B147" s="328"/>
      <c r="C147" s="328"/>
      <c r="D147" s="328"/>
      <c r="E147" s="328"/>
      <c r="F147" s="328"/>
      <c r="G147" s="328"/>
      <c r="H147" s="328"/>
    </row>
    <row r="148" spans="1:8" s="342" customFormat="1">
      <c r="A148" s="328"/>
      <c r="B148" s="328"/>
      <c r="C148" s="328"/>
      <c r="D148" s="328"/>
      <c r="E148" s="328"/>
      <c r="F148" s="328"/>
      <c r="G148" s="328"/>
      <c r="H148" s="328"/>
    </row>
    <row r="149" spans="1:8" s="342" customFormat="1">
      <c r="A149" s="328"/>
      <c r="B149" s="328"/>
      <c r="C149" s="328"/>
      <c r="D149" s="328"/>
      <c r="E149" s="328"/>
      <c r="F149" s="328"/>
      <c r="G149" s="328"/>
      <c r="H149" s="328"/>
    </row>
    <row r="150" spans="1:8" s="342" customFormat="1">
      <c r="A150" s="328"/>
      <c r="B150" s="328"/>
      <c r="C150" s="328"/>
      <c r="D150" s="328"/>
      <c r="E150" s="328"/>
      <c r="F150" s="328"/>
      <c r="G150" s="328"/>
      <c r="H150" s="328"/>
    </row>
    <row r="151" spans="1:8" s="342" customFormat="1">
      <c r="A151" s="328"/>
      <c r="B151" s="328"/>
      <c r="C151" s="328"/>
      <c r="D151" s="328"/>
      <c r="E151" s="328"/>
      <c r="F151" s="328"/>
      <c r="G151" s="328"/>
      <c r="H151" s="328"/>
    </row>
    <row r="152" spans="1:8" s="342" customFormat="1">
      <c r="A152" s="328"/>
      <c r="B152" s="328"/>
      <c r="C152" s="328"/>
      <c r="D152" s="328"/>
      <c r="E152" s="328"/>
      <c r="F152" s="328"/>
      <c r="G152" s="328"/>
      <c r="H152" s="328"/>
    </row>
    <row r="153" spans="1:8" s="342" customFormat="1">
      <c r="A153" s="328"/>
      <c r="B153" s="328"/>
      <c r="C153" s="328"/>
      <c r="D153" s="328"/>
      <c r="E153" s="328"/>
      <c r="F153" s="328"/>
      <c r="G153" s="328"/>
      <c r="H153" s="328"/>
    </row>
    <row r="154" spans="1:8" s="342" customFormat="1">
      <c r="A154" s="328"/>
      <c r="B154" s="328"/>
      <c r="C154" s="328"/>
      <c r="D154" s="328"/>
      <c r="E154" s="328"/>
      <c r="F154" s="328"/>
      <c r="G154" s="328"/>
      <c r="H154" s="328"/>
    </row>
    <row r="155" spans="1:8" s="342" customFormat="1">
      <c r="A155" s="328"/>
      <c r="B155" s="328"/>
      <c r="C155" s="328"/>
      <c r="D155" s="328"/>
      <c r="E155" s="328"/>
      <c r="F155" s="328"/>
      <c r="G155" s="328"/>
      <c r="H155" s="328"/>
    </row>
    <row r="156" spans="1:8" s="342" customFormat="1">
      <c r="A156" s="328"/>
      <c r="B156" s="328"/>
      <c r="C156" s="328"/>
      <c r="D156" s="328"/>
      <c r="E156" s="328"/>
      <c r="F156" s="328"/>
      <c r="G156" s="328"/>
      <c r="H156" s="328"/>
    </row>
    <row r="157" spans="1:8" s="342" customFormat="1">
      <c r="A157" s="328"/>
      <c r="B157" s="328"/>
      <c r="C157" s="328"/>
      <c r="D157" s="328"/>
      <c r="E157" s="328"/>
      <c r="F157" s="328"/>
      <c r="G157" s="328"/>
      <c r="H157" s="328"/>
    </row>
    <row r="158" spans="1:8" s="342" customFormat="1">
      <c r="A158" s="328"/>
      <c r="B158" s="328"/>
      <c r="C158" s="328"/>
      <c r="D158" s="328"/>
      <c r="E158" s="328"/>
      <c r="F158" s="328"/>
      <c r="G158" s="328"/>
      <c r="H158" s="328"/>
    </row>
    <row r="159" spans="1:8" s="342" customFormat="1">
      <c r="A159" s="328"/>
      <c r="B159" s="328"/>
      <c r="C159" s="328"/>
      <c r="D159" s="328"/>
      <c r="E159" s="328"/>
      <c r="F159" s="328"/>
      <c r="G159" s="328"/>
      <c r="H159" s="328"/>
    </row>
    <row r="160" spans="1:8" s="342" customFormat="1">
      <c r="A160" s="328"/>
      <c r="B160" s="328"/>
      <c r="C160" s="328"/>
      <c r="D160" s="328"/>
      <c r="E160" s="328"/>
      <c r="F160" s="328"/>
      <c r="G160" s="328"/>
      <c r="H160" s="328"/>
    </row>
    <row r="161" spans="1:8" s="342" customFormat="1">
      <c r="A161" s="328"/>
      <c r="B161" s="328"/>
      <c r="C161" s="328"/>
      <c r="D161" s="328"/>
      <c r="E161" s="328"/>
      <c r="F161" s="328"/>
      <c r="G161" s="328"/>
      <c r="H161" s="328"/>
    </row>
    <row r="162" spans="1:8" s="342" customFormat="1">
      <c r="A162" s="328"/>
      <c r="B162" s="328"/>
      <c r="C162" s="328"/>
      <c r="D162" s="328"/>
      <c r="E162" s="328"/>
      <c r="F162" s="328"/>
      <c r="G162" s="328"/>
      <c r="H162" s="328"/>
    </row>
    <row r="163" spans="1:8" s="342" customFormat="1">
      <c r="A163" s="328"/>
      <c r="B163" s="328"/>
      <c r="C163" s="328"/>
      <c r="D163" s="328"/>
      <c r="E163" s="328"/>
      <c r="F163" s="328"/>
      <c r="G163" s="328"/>
      <c r="H163" s="328"/>
    </row>
    <row r="164" spans="1:8" s="342" customFormat="1">
      <c r="A164" s="328"/>
      <c r="B164" s="328"/>
      <c r="C164" s="328"/>
      <c r="D164" s="328"/>
      <c r="E164" s="328"/>
      <c r="F164" s="328"/>
      <c r="G164" s="328"/>
      <c r="H164" s="328"/>
    </row>
    <row r="165" spans="1:8" s="342" customFormat="1">
      <c r="A165" s="328"/>
      <c r="B165" s="328"/>
      <c r="C165" s="328"/>
      <c r="D165" s="328"/>
      <c r="E165" s="328"/>
      <c r="F165" s="328"/>
      <c r="G165" s="328"/>
      <c r="H165" s="328"/>
    </row>
    <row r="166" spans="1:8" s="342" customFormat="1">
      <c r="A166" s="328"/>
      <c r="B166" s="328"/>
      <c r="C166" s="328"/>
      <c r="D166" s="328"/>
      <c r="E166" s="328"/>
      <c r="F166" s="328"/>
      <c r="G166" s="328"/>
      <c r="H166" s="328"/>
    </row>
    <row r="167" spans="1:8" s="342" customFormat="1">
      <c r="A167" s="328"/>
      <c r="B167" s="328"/>
      <c r="C167" s="328"/>
      <c r="D167" s="328"/>
      <c r="E167" s="328"/>
      <c r="F167" s="328"/>
      <c r="G167" s="328"/>
      <c r="H167" s="328"/>
    </row>
    <row r="168" spans="1:8" s="342" customFormat="1">
      <c r="A168" s="328"/>
      <c r="B168" s="328"/>
      <c r="C168" s="328"/>
      <c r="D168" s="328"/>
      <c r="E168" s="328"/>
      <c r="F168" s="328"/>
      <c r="G168" s="328"/>
      <c r="H168" s="328"/>
    </row>
    <row r="169" spans="1:8" s="342" customFormat="1">
      <c r="A169" s="328"/>
      <c r="B169" s="328"/>
      <c r="C169" s="328"/>
      <c r="D169" s="328"/>
      <c r="E169" s="328"/>
      <c r="F169" s="328"/>
      <c r="G169" s="328"/>
      <c r="H169" s="328"/>
    </row>
    <row r="170" spans="1:8" s="342" customFormat="1">
      <c r="A170" s="328"/>
      <c r="B170" s="328"/>
      <c r="C170" s="328"/>
      <c r="D170" s="328"/>
      <c r="E170" s="328"/>
      <c r="F170" s="328"/>
      <c r="G170" s="328"/>
      <c r="H170" s="328"/>
    </row>
    <row r="171" spans="1:8" s="342" customFormat="1">
      <c r="A171" s="328"/>
      <c r="B171" s="328"/>
      <c r="C171" s="328"/>
      <c r="D171" s="328"/>
      <c r="E171" s="328"/>
      <c r="F171" s="328"/>
      <c r="G171" s="328"/>
      <c r="H171" s="328"/>
    </row>
    <row r="172" spans="1:8" s="342" customFormat="1">
      <c r="A172" s="328"/>
      <c r="B172" s="328"/>
      <c r="C172" s="328"/>
      <c r="D172" s="328"/>
      <c r="E172" s="328"/>
      <c r="F172" s="328"/>
      <c r="G172" s="328"/>
      <c r="H172" s="328"/>
    </row>
    <row r="173" spans="1:8" s="342" customFormat="1">
      <c r="A173" s="328"/>
      <c r="B173" s="328"/>
      <c r="C173" s="328"/>
      <c r="D173" s="328"/>
      <c r="E173" s="328"/>
      <c r="F173" s="328"/>
      <c r="G173" s="328"/>
      <c r="H173" s="328"/>
    </row>
    <row r="174" spans="1:8" s="342" customFormat="1">
      <c r="A174" s="328"/>
      <c r="B174" s="328"/>
      <c r="C174" s="328"/>
      <c r="D174" s="328"/>
      <c r="E174" s="328"/>
      <c r="F174" s="328"/>
      <c r="G174" s="328"/>
      <c r="H174" s="328"/>
    </row>
    <row r="175" spans="1:8" s="342" customFormat="1">
      <c r="A175" s="328"/>
      <c r="B175" s="328"/>
      <c r="C175" s="328"/>
      <c r="D175" s="328"/>
      <c r="E175" s="328"/>
      <c r="F175" s="328"/>
      <c r="G175" s="328"/>
      <c r="H175" s="328"/>
    </row>
    <row r="176" spans="1:8" s="342" customFormat="1">
      <c r="A176" s="328"/>
      <c r="B176" s="328"/>
      <c r="C176" s="328"/>
      <c r="D176" s="328"/>
      <c r="E176" s="328"/>
      <c r="F176" s="328"/>
      <c r="G176" s="328"/>
      <c r="H176" s="328"/>
    </row>
    <row r="177" spans="1:8" s="342" customFormat="1">
      <c r="A177" s="328"/>
      <c r="B177" s="328"/>
      <c r="C177" s="328"/>
      <c r="D177" s="328"/>
      <c r="E177" s="328"/>
      <c r="F177" s="328"/>
      <c r="G177" s="328"/>
      <c r="H177" s="328"/>
    </row>
    <row r="178" spans="1:8" s="342" customFormat="1">
      <c r="A178" s="328"/>
      <c r="B178" s="328"/>
      <c r="C178" s="328"/>
      <c r="D178" s="328"/>
      <c r="E178" s="328"/>
      <c r="F178" s="328"/>
      <c r="G178" s="328"/>
      <c r="H178" s="328"/>
    </row>
    <row r="179" spans="1:8" s="342" customFormat="1">
      <c r="A179" s="328"/>
      <c r="B179" s="328"/>
      <c r="C179" s="328"/>
      <c r="D179" s="328"/>
      <c r="E179" s="328"/>
      <c r="F179" s="328"/>
      <c r="G179" s="328"/>
      <c r="H179" s="328"/>
    </row>
    <row r="180" spans="1:8" s="342" customFormat="1">
      <c r="A180" s="328"/>
      <c r="B180" s="328"/>
      <c r="C180" s="328"/>
      <c r="D180" s="328"/>
      <c r="E180" s="328"/>
      <c r="F180" s="328"/>
      <c r="G180" s="328"/>
      <c r="H180" s="328"/>
    </row>
    <row r="181" spans="1:8" s="342" customFormat="1">
      <c r="A181" s="328"/>
      <c r="B181" s="328"/>
      <c r="C181" s="328"/>
      <c r="D181" s="328"/>
      <c r="E181" s="328"/>
      <c r="F181" s="328"/>
      <c r="G181" s="328"/>
      <c r="H181" s="328"/>
    </row>
    <row r="182" spans="1:8" s="342" customFormat="1">
      <c r="A182" s="328"/>
      <c r="B182" s="328"/>
      <c r="C182" s="328"/>
      <c r="D182" s="328"/>
      <c r="E182" s="328"/>
      <c r="F182" s="328"/>
      <c r="G182" s="328"/>
      <c r="H182" s="328"/>
    </row>
    <row r="183" spans="1:8" s="342" customFormat="1">
      <c r="A183" s="328"/>
      <c r="B183" s="328"/>
      <c r="C183" s="328"/>
      <c r="D183" s="328"/>
      <c r="E183" s="328"/>
      <c r="F183" s="328"/>
      <c r="G183" s="328"/>
      <c r="H183" s="328"/>
    </row>
    <row r="184" spans="1:8" s="342" customFormat="1">
      <c r="A184" s="328"/>
      <c r="B184" s="328"/>
      <c r="C184" s="328"/>
      <c r="D184" s="328"/>
      <c r="E184" s="328"/>
      <c r="F184" s="328"/>
      <c r="G184" s="328"/>
      <c r="H184" s="328"/>
    </row>
    <row r="185" spans="1:8" s="342" customFormat="1">
      <c r="A185" s="328"/>
      <c r="B185" s="328"/>
      <c r="C185" s="328"/>
      <c r="D185" s="328"/>
      <c r="E185" s="328"/>
      <c r="F185" s="328"/>
      <c r="G185" s="328"/>
      <c r="H185" s="328"/>
    </row>
    <row r="186" spans="1:8" s="342" customFormat="1">
      <c r="A186" s="328"/>
      <c r="B186" s="328"/>
      <c r="C186" s="328"/>
      <c r="D186" s="328"/>
      <c r="E186" s="328"/>
      <c r="F186" s="328"/>
      <c r="G186" s="328"/>
      <c r="H186" s="328"/>
    </row>
    <row r="187" spans="1:8" s="342" customFormat="1">
      <c r="A187" s="328"/>
      <c r="B187" s="328"/>
      <c r="C187" s="328"/>
      <c r="D187" s="328"/>
      <c r="E187" s="328"/>
      <c r="F187" s="328"/>
      <c r="G187" s="328"/>
      <c r="H187" s="328"/>
    </row>
    <row r="188" spans="1:8" s="342" customFormat="1">
      <c r="A188" s="328"/>
      <c r="B188" s="328"/>
      <c r="C188" s="328"/>
      <c r="D188" s="328"/>
      <c r="E188" s="328"/>
      <c r="F188" s="328"/>
      <c r="G188" s="328"/>
      <c r="H188" s="328"/>
    </row>
    <row r="189" spans="1:8" s="342" customFormat="1">
      <c r="A189" s="328"/>
      <c r="B189" s="328"/>
      <c r="C189" s="328"/>
      <c r="D189" s="328"/>
      <c r="E189" s="328"/>
      <c r="F189" s="328"/>
      <c r="G189" s="328"/>
      <c r="H189" s="328"/>
    </row>
    <row r="190" spans="1:8" s="342" customFormat="1">
      <c r="A190" s="328"/>
      <c r="B190" s="328"/>
      <c r="C190" s="328"/>
      <c r="D190" s="328"/>
      <c r="E190" s="328"/>
      <c r="F190" s="328"/>
      <c r="G190" s="328"/>
      <c r="H190" s="328"/>
    </row>
    <row r="191" spans="1:8" s="342" customFormat="1">
      <c r="A191" s="328"/>
      <c r="B191" s="328"/>
      <c r="C191" s="328"/>
      <c r="D191" s="328"/>
      <c r="E191" s="328"/>
      <c r="F191" s="328"/>
      <c r="G191" s="328"/>
      <c r="H191" s="328"/>
    </row>
    <row r="192" spans="1:8" s="342" customFormat="1">
      <c r="A192" s="328"/>
      <c r="B192" s="328"/>
      <c r="C192" s="328"/>
      <c r="D192" s="328"/>
      <c r="E192" s="328"/>
      <c r="F192" s="328"/>
      <c r="G192" s="328"/>
      <c r="H192" s="328"/>
    </row>
    <row r="193" spans="1:8" s="342" customFormat="1">
      <c r="A193" s="328"/>
      <c r="B193" s="328"/>
      <c r="C193" s="328"/>
      <c r="D193" s="328"/>
      <c r="E193" s="328"/>
      <c r="F193" s="328"/>
      <c r="G193" s="328"/>
      <c r="H193" s="328"/>
    </row>
    <row r="194" spans="1:8" s="342" customFormat="1">
      <c r="A194" s="328"/>
      <c r="B194" s="328"/>
      <c r="C194" s="328"/>
      <c r="D194" s="328"/>
      <c r="E194" s="328"/>
      <c r="F194" s="328"/>
      <c r="G194" s="328"/>
      <c r="H194" s="328"/>
    </row>
    <row r="195" spans="1:8" s="342" customFormat="1">
      <c r="A195" s="328"/>
      <c r="B195" s="328"/>
      <c r="C195" s="328"/>
      <c r="D195" s="328"/>
      <c r="E195" s="328"/>
      <c r="F195" s="328"/>
      <c r="G195" s="328"/>
      <c r="H195" s="328"/>
    </row>
    <row r="196" spans="1:8" s="342" customFormat="1">
      <c r="A196" s="328"/>
      <c r="B196" s="328"/>
      <c r="C196" s="328"/>
      <c r="D196" s="328"/>
      <c r="E196" s="328"/>
      <c r="F196" s="328"/>
      <c r="G196" s="328"/>
      <c r="H196" s="328"/>
    </row>
    <row r="197" spans="1:8" s="342" customFormat="1">
      <c r="A197" s="328"/>
      <c r="B197" s="328"/>
      <c r="C197" s="328"/>
      <c r="D197" s="328"/>
      <c r="E197" s="328"/>
      <c r="F197" s="328"/>
      <c r="G197" s="328"/>
      <c r="H197" s="328"/>
    </row>
    <row r="198" spans="1:8" s="342" customFormat="1">
      <c r="A198" s="328"/>
      <c r="B198" s="328"/>
      <c r="C198" s="328"/>
      <c r="D198" s="328"/>
      <c r="E198" s="328"/>
      <c r="F198" s="328"/>
      <c r="G198" s="328"/>
      <c r="H198" s="328"/>
    </row>
    <row r="199" spans="1:8" s="342" customFormat="1">
      <c r="A199" s="328"/>
      <c r="B199" s="328"/>
      <c r="C199" s="328"/>
      <c r="D199" s="328"/>
      <c r="E199" s="328"/>
      <c r="F199" s="328"/>
      <c r="G199" s="328"/>
      <c r="H199" s="328"/>
    </row>
    <row r="200" spans="1:8" s="342" customFormat="1">
      <c r="A200" s="328"/>
      <c r="B200" s="328"/>
      <c r="C200" s="328"/>
      <c r="D200" s="328"/>
      <c r="E200" s="328"/>
      <c r="F200" s="328"/>
      <c r="G200" s="328"/>
      <c r="H200" s="328"/>
    </row>
    <row r="201" spans="1:8" s="342" customFormat="1">
      <c r="A201" s="328"/>
      <c r="B201" s="328"/>
      <c r="C201" s="328"/>
      <c r="D201" s="328"/>
      <c r="E201" s="328"/>
      <c r="F201" s="328"/>
      <c r="G201" s="328"/>
      <c r="H201" s="328"/>
    </row>
    <row r="202" spans="1:8" s="342" customFormat="1">
      <c r="A202" s="328"/>
      <c r="B202" s="328"/>
      <c r="C202" s="328"/>
      <c r="D202" s="328"/>
      <c r="E202" s="328"/>
      <c r="F202" s="328"/>
      <c r="G202" s="328"/>
      <c r="H202" s="328"/>
    </row>
    <row r="203" spans="1:8" s="342" customFormat="1">
      <c r="A203" s="328"/>
      <c r="B203" s="328"/>
      <c r="C203" s="328"/>
      <c r="D203" s="328"/>
      <c r="E203" s="328"/>
      <c r="F203" s="328"/>
      <c r="G203" s="328"/>
      <c r="H203" s="328"/>
    </row>
    <row r="204" spans="1:8" s="342" customFormat="1">
      <c r="A204" s="328"/>
      <c r="B204" s="328"/>
      <c r="C204" s="328"/>
      <c r="D204" s="328"/>
      <c r="E204" s="328"/>
      <c r="F204" s="328"/>
      <c r="G204" s="328"/>
      <c r="H204" s="328"/>
    </row>
    <row r="205" spans="1:8" s="342" customFormat="1">
      <c r="A205" s="328"/>
      <c r="B205" s="328"/>
      <c r="C205" s="328"/>
      <c r="D205" s="328"/>
      <c r="E205" s="328"/>
      <c r="F205" s="328"/>
      <c r="G205" s="328"/>
      <c r="H205" s="328"/>
    </row>
    <row r="206" spans="1:8" s="342" customFormat="1">
      <c r="A206" s="328"/>
      <c r="B206" s="328"/>
      <c r="C206" s="328"/>
      <c r="D206" s="328"/>
      <c r="E206" s="328"/>
      <c r="F206" s="328"/>
      <c r="G206" s="328"/>
      <c r="H206" s="328"/>
    </row>
    <row r="207" spans="1:8" s="342" customFormat="1">
      <c r="A207" s="328"/>
      <c r="B207" s="328"/>
      <c r="C207" s="328"/>
      <c r="D207" s="328"/>
      <c r="E207" s="328"/>
      <c r="F207" s="328"/>
      <c r="G207" s="328"/>
      <c r="H207" s="328"/>
    </row>
    <row r="208" spans="1:8" s="342" customFormat="1">
      <c r="A208" s="328"/>
      <c r="B208" s="328"/>
      <c r="C208" s="328"/>
      <c r="D208" s="328"/>
      <c r="E208" s="328"/>
      <c r="F208" s="328"/>
      <c r="G208" s="328"/>
      <c r="H208" s="328"/>
    </row>
    <row r="209" spans="1:8" s="342" customFormat="1">
      <c r="A209" s="328"/>
      <c r="B209" s="328"/>
      <c r="C209" s="328"/>
      <c r="D209" s="328"/>
      <c r="E209" s="328"/>
      <c r="F209" s="328"/>
      <c r="G209" s="328"/>
      <c r="H209" s="328"/>
    </row>
    <row r="210" spans="1:8" s="342" customFormat="1">
      <c r="A210" s="328"/>
      <c r="B210" s="328"/>
      <c r="C210" s="328"/>
      <c r="D210" s="328"/>
      <c r="E210" s="328"/>
      <c r="F210" s="328"/>
      <c r="G210" s="328"/>
      <c r="H210" s="328"/>
    </row>
    <row r="211" spans="1:8" s="342" customFormat="1">
      <c r="A211" s="328"/>
      <c r="B211" s="328"/>
      <c r="C211" s="328"/>
      <c r="D211" s="328"/>
      <c r="E211" s="328"/>
      <c r="F211" s="328"/>
      <c r="G211" s="328"/>
      <c r="H211" s="328"/>
    </row>
    <row r="212" spans="1:8" s="342" customFormat="1">
      <c r="A212" s="328"/>
      <c r="B212" s="328"/>
      <c r="C212" s="328"/>
      <c r="D212" s="328"/>
      <c r="E212" s="328"/>
      <c r="F212" s="328"/>
      <c r="G212" s="328"/>
      <c r="H212" s="328"/>
    </row>
    <row r="213" spans="1:8" s="342" customFormat="1">
      <c r="A213" s="328"/>
      <c r="B213" s="328"/>
      <c r="C213" s="328"/>
      <c r="D213" s="328"/>
      <c r="E213" s="328"/>
      <c r="F213" s="328"/>
      <c r="G213" s="328"/>
      <c r="H213" s="328"/>
    </row>
    <row r="214" spans="1:8" s="342" customFormat="1">
      <c r="A214" s="328"/>
      <c r="B214" s="328"/>
      <c r="C214" s="328"/>
      <c r="D214" s="328"/>
      <c r="E214" s="328"/>
      <c r="F214" s="328"/>
      <c r="G214" s="328"/>
      <c r="H214" s="328"/>
    </row>
    <row r="215" spans="1:8" s="342" customFormat="1">
      <c r="A215" s="328"/>
      <c r="B215" s="328"/>
      <c r="C215" s="328"/>
      <c r="D215" s="328"/>
      <c r="E215" s="328"/>
      <c r="F215" s="328"/>
      <c r="G215" s="328"/>
      <c r="H215" s="328"/>
    </row>
    <row r="216" spans="1:8" s="342" customFormat="1">
      <c r="A216" s="328"/>
      <c r="B216" s="328"/>
      <c r="C216" s="328"/>
      <c r="D216" s="328"/>
      <c r="E216" s="328"/>
      <c r="F216" s="328"/>
      <c r="G216" s="328"/>
      <c r="H216" s="328"/>
    </row>
    <row r="217" spans="1:8" s="342" customFormat="1">
      <c r="A217" s="328"/>
      <c r="B217" s="328"/>
      <c r="C217" s="328"/>
      <c r="D217" s="328"/>
      <c r="E217" s="328"/>
      <c r="F217" s="328"/>
      <c r="G217" s="328"/>
      <c r="H217" s="328"/>
    </row>
    <row r="218" spans="1:8" s="342" customFormat="1">
      <c r="A218" s="328"/>
      <c r="B218" s="328"/>
      <c r="C218" s="328"/>
      <c r="D218" s="328"/>
      <c r="E218" s="328"/>
      <c r="F218" s="328"/>
      <c r="G218" s="328"/>
      <c r="H218" s="328"/>
    </row>
    <row r="219" spans="1:8" s="342" customFormat="1">
      <c r="A219" s="328"/>
      <c r="B219" s="328"/>
      <c r="C219" s="328"/>
      <c r="D219" s="328"/>
      <c r="E219" s="328"/>
      <c r="F219" s="328"/>
      <c r="G219" s="328"/>
      <c r="H219" s="328"/>
    </row>
    <row r="220" spans="1:8" s="342" customFormat="1">
      <c r="A220" s="328"/>
      <c r="B220" s="328"/>
      <c r="C220" s="328"/>
      <c r="D220" s="328"/>
      <c r="E220" s="328"/>
      <c r="F220" s="328"/>
      <c r="G220" s="328"/>
      <c r="H220" s="328"/>
    </row>
    <row r="221" spans="1:8" s="342" customFormat="1">
      <c r="A221" s="328"/>
      <c r="B221" s="328"/>
      <c r="C221" s="328"/>
      <c r="D221" s="328"/>
      <c r="E221" s="328"/>
      <c r="F221" s="328"/>
      <c r="G221" s="328"/>
      <c r="H221" s="328"/>
    </row>
    <row r="222" spans="1:8" s="342" customFormat="1">
      <c r="A222" s="328"/>
      <c r="B222" s="328"/>
      <c r="C222" s="328"/>
      <c r="D222" s="328"/>
      <c r="E222" s="328"/>
      <c r="F222" s="328"/>
      <c r="G222" s="328"/>
      <c r="H222" s="328"/>
    </row>
    <row r="223" spans="1:8" s="342" customFormat="1">
      <c r="A223" s="328"/>
      <c r="B223" s="328"/>
      <c r="C223" s="328"/>
      <c r="D223" s="328"/>
      <c r="E223" s="328"/>
      <c r="F223" s="328"/>
      <c r="G223" s="328"/>
      <c r="H223" s="328"/>
    </row>
    <row r="224" spans="1:8" s="342" customFormat="1">
      <c r="A224" s="328"/>
      <c r="B224" s="328"/>
      <c r="C224" s="328"/>
      <c r="D224" s="328"/>
      <c r="E224" s="328"/>
      <c r="F224" s="328"/>
      <c r="G224" s="328"/>
      <c r="H224" s="328"/>
    </row>
    <row r="225" spans="1:8" s="342" customFormat="1">
      <c r="A225" s="328"/>
      <c r="B225" s="328"/>
      <c r="C225" s="328"/>
      <c r="D225" s="328"/>
      <c r="E225" s="328"/>
      <c r="F225" s="328"/>
      <c r="G225" s="328"/>
      <c r="H225" s="328"/>
    </row>
    <row r="226" spans="1:8" s="342" customFormat="1">
      <c r="A226" s="328"/>
      <c r="B226" s="328"/>
      <c r="C226" s="328"/>
      <c r="D226" s="328"/>
      <c r="E226" s="328"/>
      <c r="F226" s="328"/>
      <c r="G226" s="328"/>
      <c r="H226" s="328"/>
    </row>
    <row r="227" spans="1:8" s="342" customFormat="1">
      <c r="A227" s="328"/>
      <c r="B227" s="328"/>
      <c r="C227" s="328"/>
      <c r="D227" s="328"/>
      <c r="E227" s="328"/>
      <c r="F227" s="328"/>
      <c r="G227" s="328"/>
      <c r="H227" s="328"/>
    </row>
    <row r="228" spans="1:8" s="342" customFormat="1">
      <c r="A228" s="328"/>
      <c r="B228" s="328"/>
      <c r="C228" s="328"/>
      <c r="D228" s="328"/>
      <c r="E228" s="328"/>
      <c r="F228" s="328"/>
      <c r="G228" s="328"/>
      <c r="H228" s="328"/>
    </row>
    <row r="229" spans="1:8" s="342" customFormat="1">
      <c r="A229" s="328"/>
      <c r="B229" s="328"/>
      <c r="C229" s="328"/>
      <c r="D229" s="328"/>
      <c r="E229" s="328"/>
      <c r="F229" s="328"/>
      <c r="G229" s="328"/>
      <c r="H229" s="328"/>
    </row>
    <row r="230" spans="1:8" s="342" customFormat="1">
      <c r="A230" s="328"/>
      <c r="B230" s="328"/>
      <c r="C230" s="328"/>
      <c r="D230" s="328"/>
      <c r="E230" s="328"/>
      <c r="F230" s="328"/>
      <c r="G230" s="328"/>
      <c r="H230" s="328"/>
    </row>
    <row r="231" spans="1:8" s="342" customFormat="1">
      <c r="A231" s="328"/>
      <c r="B231" s="328"/>
      <c r="C231" s="328"/>
      <c r="D231" s="328"/>
      <c r="E231" s="328"/>
      <c r="F231" s="328"/>
      <c r="G231" s="328"/>
      <c r="H231" s="328"/>
    </row>
    <row r="232" spans="1:8" s="342" customFormat="1">
      <c r="A232" s="328"/>
      <c r="B232" s="328"/>
      <c r="C232" s="328"/>
      <c r="D232" s="328"/>
      <c r="E232" s="328"/>
      <c r="F232" s="328"/>
      <c r="G232" s="328"/>
      <c r="H232" s="328"/>
    </row>
    <row r="233" spans="1:8" s="342" customFormat="1">
      <c r="A233" s="328"/>
      <c r="B233" s="328"/>
      <c r="C233" s="328"/>
      <c r="D233" s="328"/>
      <c r="E233" s="328"/>
      <c r="F233" s="328"/>
      <c r="G233" s="328"/>
      <c r="H233" s="328"/>
    </row>
    <row r="234" spans="1:8" s="342" customFormat="1">
      <c r="A234" s="328"/>
      <c r="B234" s="328"/>
      <c r="C234" s="328"/>
      <c r="D234" s="328"/>
      <c r="E234" s="328"/>
      <c r="F234" s="328"/>
      <c r="G234" s="328"/>
      <c r="H234" s="328"/>
    </row>
    <row r="235" spans="1:8" s="342" customFormat="1">
      <c r="A235" s="328"/>
      <c r="B235" s="328"/>
      <c r="C235" s="328"/>
      <c r="D235" s="328"/>
      <c r="E235" s="328"/>
      <c r="F235" s="328"/>
      <c r="G235" s="328"/>
      <c r="H235" s="328"/>
    </row>
    <row r="236" spans="1:8" s="342" customFormat="1">
      <c r="A236" s="328"/>
      <c r="B236" s="328"/>
      <c r="C236" s="328"/>
      <c r="D236" s="328"/>
      <c r="E236" s="328"/>
      <c r="F236" s="328"/>
      <c r="G236" s="328"/>
      <c r="H236" s="328"/>
    </row>
    <row r="237" spans="1:8" s="342" customFormat="1">
      <c r="A237" s="328"/>
      <c r="B237" s="328"/>
      <c r="C237" s="328"/>
      <c r="D237" s="328"/>
      <c r="E237" s="328"/>
      <c r="F237" s="328"/>
      <c r="G237" s="328"/>
      <c r="H237" s="328"/>
    </row>
    <row r="238" spans="1:8" s="342" customFormat="1">
      <c r="A238" s="328"/>
      <c r="B238" s="328"/>
      <c r="C238" s="328"/>
      <c r="D238" s="328"/>
      <c r="E238" s="328"/>
      <c r="F238" s="328"/>
      <c r="G238" s="328"/>
      <c r="H238" s="328"/>
    </row>
    <row r="239" spans="1:8" s="342" customFormat="1">
      <c r="A239" s="328"/>
      <c r="B239" s="328"/>
      <c r="C239" s="328"/>
      <c r="D239" s="328"/>
      <c r="E239" s="328"/>
      <c r="F239" s="328"/>
      <c r="G239" s="328"/>
      <c r="H239" s="328"/>
    </row>
    <row r="240" spans="1:8" s="342" customFormat="1">
      <c r="A240" s="328"/>
      <c r="B240" s="328"/>
      <c r="C240" s="328"/>
      <c r="D240" s="328"/>
      <c r="E240" s="328"/>
      <c r="F240" s="328"/>
      <c r="G240" s="328"/>
      <c r="H240" s="328"/>
    </row>
    <row r="241" spans="1:8" s="342" customFormat="1">
      <c r="A241" s="328"/>
      <c r="B241" s="328"/>
      <c r="C241" s="328"/>
      <c r="D241" s="328"/>
      <c r="E241" s="328"/>
      <c r="F241" s="328"/>
      <c r="G241" s="328"/>
      <c r="H241" s="328"/>
    </row>
    <row r="242" spans="1:8" s="342" customFormat="1">
      <c r="A242" s="328"/>
      <c r="B242" s="328"/>
      <c r="C242" s="328"/>
      <c r="D242" s="328"/>
      <c r="E242" s="328"/>
      <c r="F242" s="328"/>
      <c r="G242" s="328"/>
      <c r="H242" s="328"/>
    </row>
    <row r="243" spans="1:8" s="342" customFormat="1">
      <c r="A243" s="328"/>
      <c r="B243" s="328"/>
      <c r="C243" s="328"/>
      <c r="D243" s="328"/>
      <c r="E243" s="328"/>
      <c r="F243" s="328"/>
      <c r="G243" s="328"/>
      <c r="H243" s="328"/>
    </row>
    <row r="244" spans="1:8" s="342" customFormat="1">
      <c r="A244" s="328"/>
      <c r="B244" s="328"/>
      <c r="C244" s="328"/>
      <c r="D244" s="328"/>
      <c r="E244" s="328"/>
      <c r="F244" s="328"/>
      <c r="G244" s="328"/>
      <c r="H244" s="328"/>
    </row>
    <row r="245" spans="1:8" s="342" customFormat="1">
      <c r="A245" s="328"/>
      <c r="B245" s="328"/>
      <c r="C245" s="328"/>
      <c r="D245" s="328"/>
      <c r="E245" s="328"/>
      <c r="F245" s="328"/>
      <c r="G245" s="328"/>
      <c r="H245" s="328"/>
    </row>
    <row r="246" spans="1:8" s="342" customFormat="1">
      <c r="A246" s="328"/>
      <c r="B246" s="328"/>
      <c r="C246" s="328"/>
      <c r="D246" s="328"/>
      <c r="E246" s="328"/>
      <c r="F246" s="328"/>
      <c r="G246" s="328"/>
      <c r="H246" s="328"/>
    </row>
    <row r="247" spans="1:8">
      <c r="G247" s="328"/>
    </row>
    <row r="248" spans="1:8">
      <c r="G248" s="328"/>
    </row>
    <row r="249" spans="1:8">
      <c r="G249" s="328"/>
    </row>
    <row r="250" spans="1:8">
      <c r="G250" s="328"/>
    </row>
    <row r="251" spans="1:8">
      <c r="G251" s="328"/>
    </row>
    <row r="252" spans="1:8">
      <c r="G252" s="328"/>
    </row>
    <row r="253" spans="1:8">
      <c r="G253" s="328"/>
    </row>
    <row r="254" spans="1:8">
      <c r="G254" s="328"/>
    </row>
    <row r="255" spans="1:8">
      <c r="G255" s="328"/>
    </row>
    <row r="256" spans="1:8">
      <c r="G256" s="328"/>
    </row>
    <row r="257" spans="7:7">
      <c r="G257" s="328"/>
    </row>
    <row r="258" spans="7:7">
      <c r="G258" s="328"/>
    </row>
    <row r="259" spans="7:7">
      <c r="G259" s="328"/>
    </row>
    <row r="260" spans="7:7">
      <c r="G260" s="328"/>
    </row>
    <row r="261" spans="7:7">
      <c r="G261" s="328"/>
    </row>
    <row r="262" spans="7:7">
      <c r="G262" s="328"/>
    </row>
    <row r="263" spans="7:7">
      <c r="G263" s="328"/>
    </row>
    <row r="264" spans="7:7">
      <c r="G264" s="328"/>
    </row>
    <row r="265" spans="7:7">
      <c r="G265" s="328"/>
    </row>
    <row r="266" spans="7:7">
      <c r="G266" s="328"/>
    </row>
    <row r="267" spans="7:7">
      <c r="G267" s="328"/>
    </row>
    <row r="268" spans="7:7">
      <c r="G268" s="328"/>
    </row>
    <row r="269" spans="7:7">
      <c r="G269" s="328"/>
    </row>
  </sheetData>
  <sheetProtection algorithmName="SHA-512" hashValue="4Qebxqk7avK7A0oBWjJFJkjU+Mv3xittBSdQvv15YY85DdiYXfgPkA5/zlTXUtM+pPQ08mE+GGP3eH18o5gDWg==" saltValue="TL/EURNmcH8aKvJ9rCi2+Q==" spinCount="100000" sheet="1" formatCells="0" formatColumns="0" formatRows="0" insertColumns="0" insertRows="0" insertHyperlinks="0" deleteColumns="0" deleteRows="0" sort="0" autoFilter="0" pivotTables="0"/>
  <mergeCells count="5">
    <mergeCell ref="A32:H32"/>
    <mergeCell ref="A62:H62"/>
    <mergeCell ref="A92:H92"/>
    <mergeCell ref="A2:H2"/>
    <mergeCell ref="J1:K1"/>
  </mergeCells>
  <hyperlinks>
    <hyperlink ref="I1" location="ГЛАВНАЯ!A1" display="На главную" xr:uid="{00000000-0004-0000-1500-000000000000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33"/>
  <dimension ref="A1:N120"/>
  <sheetViews>
    <sheetView workbookViewId="0">
      <pane ySplit="1" topLeftCell="A2" activePane="bottomLeft" state="frozen"/>
      <selection pane="bottomLeft" activeCell="L57" sqref="L57"/>
    </sheetView>
  </sheetViews>
  <sheetFormatPr defaultRowHeight="14.3"/>
  <cols>
    <col min="1" max="1" width="42.375" style="534" bestFit="1" customWidth="1"/>
    <col min="2" max="2" width="10.625" style="317" customWidth="1"/>
    <col min="3" max="3" width="10.875" style="317" customWidth="1"/>
    <col min="4" max="4" width="11.125" style="317" customWidth="1"/>
    <col min="5" max="5" width="6.75" style="317" customWidth="1"/>
    <col min="6" max="6" width="17.375" style="326" customWidth="1"/>
    <col min="7" max="7" width="17.125" style="731" customWidth="1"/>
    <col min="8" max="8" width="10.75" style="317" hidden="1" customWidth="1"/>
    <col min="9" max="9" width="18.125" style="317" customWidth="1"/>
    <col min="10" max="10" width="9.875" customWidth="1"/>
    <col min="11" max="11" width="21.625" customWidth="1"/>
  </cols>
  <sheetData>
    <row r="1" spans="1:14" ht="50.95" customHeight="1" thickBot="1">
      <c r="A1" s="376" t="s">
        <v>2</v>
      </c>
      <c r="B1" s="377" t="s">
        <v>2342</v>
      </c>
      <c r="C1" s="377" t="s">
        <v>2586</v>
      </c>
      <c r="D1" s="377" t="s">
        <v>2343</v>
      </c>
      <c r="E1" s="377" t="s">
        <v>766</v>
      </c>
      <c r="F1" s="343" t="s">
        <v>3371</v>
      </c>
      <c r="G1" s="716" t="s">
        <v>3372</v>
      </c>
      <c r="H1" s="337"/>
      <c r="I1" s="329" t="s">
        <v>2304</v>
      </c>
      <c r="J1" s="921" t="s">
        <v>3595</v>
      </c>
      <c r="K1" s="922"/>
    </row>
    <row r="2" spans="1:14" ht="16.3" thickBot="1">
      <c r="A2" s="934" t="s">
        <v>2772</v>
      </c>
      <c r="B2" s="935"/>
      <c r="C2" s="935"/>
      <c r="D2" s="935"/>
      <c r="E2" s="935"/>
      <c r="F2" s="935"/>
      <c r="G2" s="936"/>
      <c r="H2" s="338"/>
    </row>
    <row r="3" spans="1:14">
      <c r="A3" s="530" t="s">
        <v>2708</v>
      </c>
      <c r="B3" s="275">
        <v>2.5</v>
      </c>
      <c r="C3" s="330">
        <v>6</v>
      </c>
      <c r="D3" s="275">
        <v>100</v>
      </c>
      <c r="E3" s="275" t="s">
        <v>2347</v>
      </c>
      <c r="F3" s="313">
        <v>217.283625</v>
      </c>
      <c r="G3" s="728">
        <v>232.0651125</v>
      </c>
      <c r="H3" s="339">
        <v>0.45</v>
      </c>
      <c r="I3" s="341"/>
      <c r="J3" s="341"/>
      <c r="L3" s="3"/>
      <c r="M3" s="3"/>
      <c r="N3" s="3"/>
    </row>
    <row r="4" spans="1:14">
      <c r="A4" s="531" t="s">
        <v>2709</v>
      </c>
      <c r="B4" s="271">
        <v>2.5</v>
      </c>
      <c r="C4" s="272">
        <v>6</v>
      </c>
      <c r="D4" s="271">
        <v>150</v>
      </c>
      <c r="E4" s="271" t="s">
        <v>2347</v>
      </c>
      <c r="F4" s="313">
        <v>228.22312500000004</v>
      </c>
      <c r="G4" s="728">
        <v>259.59740625000001</v>
      </c>
      <c r="H4" s="339">
        <v>0.45</v>
      </c>
      <c r="I4" s="341"/>
      <c r="J4" s="341"/>
      <c r="L4" s="3"/>
      <c r="M4" s="3"/>
      <c r="N4" s="3"/>
    </row>
    <row r="5" spans="1:14">
      <c r="A5" s="531" t="s">
        <v>2710</v>
      </c>
      <c r="B5" s="271">
        <v>2.5</v>
      </c>
      <c r="C5" s="272">
        <v>6</v>
      </c>
      <c r="D5" s="271">
        <v>200</v>
      </c>
      <c r="E5" s="271" t="s">
        <v>2347</v>
      </c>
      <c r="F5" s="313">
        <v>247.52812500000002</v>
      </c>
      <c r="G5" s="728">
        <v>287.12969999999996</v>
      </c>
      <c r="H5" s="339">
        <v>0.45</v>
      </c>
      <c r="I5" s="341"/>
      <c r="J5" s="341"/>
      <c r="L5" s="3"/>
      <c r="M5" s="3"/>
      <c r="N5" s="3"/>
    </row>
    <row r="6" spans="1:14">
      <c r="A6" s="531" t="s">
        <v>2711</v>
      </c>
      <c r="B6" s="271">
        <v>2.5</v>
      </c>
      <c r="C6" s="272">
        <v>6</v>
      </c>
      <c r="D6" s="271">
        <v>250</v>
      </c>
      <c r="E6" s="271" t="s">
        <v>2347</v>
      </c>
      <c r="F6" s="313">
        <v>266.833125</v>
      </c>
      <c r="G6" s="728">
        <v>314.67881249999999</v>
      </c>
      <c r="H6" s="339">
        <v>0.45</v>
      </c>
      <c r="I6" s="341"/>
      <c r="J6" s="341"/>
      <c r="L6" s="3"/>
      <c r="M6" s="3"/>
      <c r="N6" s="3"/>
    </row>
    <row r="7" spans="1:14">
      <c r="A7" s="531" t="s">
        <v>2712</v>
      </c>
      <c r="B7" s="271">
        <v>2.5</v>
      </c>
      <c r="C7" s="272">
        <v>6</v>
      </c>
      <c r="D7" s="271">
        <v>300</v>
      </c>
      <c r="E7" s="271" t="s">
        <v>2347</v>
      </c>
      <c r="F7" s="313">
        <v>286.12349999999998</v>
      </c>
      <c r="G7" s="728">
        <v>342.21110625</v>
      </c>
      <c r="H7" s="339">
        <v>0.45</v>
      </c>
      <c r="I7" s="341"/>
      <c r="J7" s="341"/>
      <c r="L7" s="3"/>
      <c r="M7" s="3"/>
      <c r="N7" s="3"/>
    </row>
    <row r="8" spans="1:14">
      <c r="A8" s="531" t="s">
        <v>2713</v>
      </c>
      <c r="B8" s="271">
        <v>2.5</v>
      </c>
      <c r="C8" s="272">
        <v>6</v>
      </c>
      <c r="D8" s="271">
        <v>350</v>
      </c>
      <c r="E8" s="271" t="s">
        <v>2347</v>
      </c>
      <c r="F8" s="313">
        <v>305.42849999999999</v>
      </c>
      <c r="G8" s="728">
        <v>369.74339999999995</v>
      </c>
      <c r="H8" s="339">
        <v>0.45</v>
      </c>
      <c r="I8" s="341"/>
      <c r="J8" s="341"/>
      <c r="L8" s="3"/>
      <c r="M8" s="3"/>
      <c r="N8" s="3"/>
    </row>
    <row r="9" spans="1:14">
      <c r="A9" s="531" t="s">
        <v>2714</v>
      </c>
      <c r="B9" s="271">
        <v>2.5</v>
      </c>
      <c r="C9" s="272">
        <v>8</v>
      </c>
      <c r="D9" s="271">
        <v>400</v>
      </c>
      <c r="E9" s="271" t="s">
        <v>2347</v>
      </c>
      <c r="F9" s="313">
        <v>324.70425000000006</v>
      </c>
      <c r="G9" s="728">
        <v>386.53875000000005</v>
      </c>
      <c r="H9" s="339">
        <v>0.45</v>
      </c>
      <c r="I9" s="341"/>
      <c r="J9" s="341"/>
      <c r="L9" s="3"/>
      <c r="M9" s="3"/>
      <c r="N9" s="3"/>
    </row>
    <row r="10" spans="1:14">
      <c r="A10" s="531" t="s">
        <v>2715</v>
      </c>
      <c r="B10" s="271">
        <v>2.5</v>
      </c>
      <c r="C10" s="272">
        <v>8</v>
      </c>
      <c r="D10" s="271">
        <v>450</v>
      </c>
      <c r="E10" s="271" t="s">
        <v>2347</v>
      </c>
      <c r="F10" s="313">
        <v>378.31950000000006</v>
      </c>
      <c r="G10" s="728">
        <v>410.49450000000002</v>
      </c>
      <c r="H10" s="339">
        <v>0.45</v>
      </c>
      <c r="I10" s="341"/>
      <c r="J10" s="341"/>
      <c r="L10" s="3"/>
      <c r="M10" s="3"/>
      <c r="N10" s="3"/>
    </row>
    <row r="11" spans="1:14">
      <c r="A11" s="531" t="s">
        <v>2716</v>
      </c>
      <c r="B11" s="271">
        <v>2.5</v>
      </c>
      <c r="C11" s="272">
        <v>8</v>
      </c>
      <c r="D11" s="271">
        <v>500</v>
      </c>
      <c r="E11" s="271" t="s">
        <v>2347</v>
      </c>
      <c r="F11" s="313">
        <v>397.62450000000001</v>
      </c>
      <c r="G11" s="728">
        <v>434.45024999999998</v>
      </c>
      <c r="H11" s="339">
        <v>0.45</v>
      </c>
      <c r="I11" s="341"/>
      <c r="J11" s="341"/>
      <c r="L11" s="3"/>
      <c r="M11" s="3"/>
      <c r="N11" s="3"/>
    </row>
    <row r="12" spans="1:14">
      <c r="A12" s="531" t="s">
        <v>2717</v>
      </c>
      <c r="B12" s="271">
        <v>2.5</v>
      </c>
      <c r="C12" s="272">
        <v>8</v>
      </c>
      <c r="D12" s="271">
        <v>550</v>
      </c>
      <c r="E12" s="271" t="s">
        <v>2347</v>
      </c>
      <c r="F12" s="313">
        <v>416.91487499999999</v>
      </c>
      <c r="G12" s="728">
        <v>458.39137499999998</v>
      </c>
      <c r="H12" s="339">
        <v>0.45</v>
      </c>
      <c r="I12" s="341"/>
      <c r="J12" s="341"/>
      <c r="L12" s="3"/>
      <c r="M12" s="3"/>
      <c r="N12" s="3"/>
    </row>
    <row r="13" spans="1:14">
      <c r="A13" s="531" t="s">
        <v>2718</v>
      </c>
      <c r="B13" s="271">
        <v>2.5</v>
      </c>
      <c r="C13" s="272">
        <v>8</v>
      </c>
      <c r="D13" s="271">
        <v>600</v>
      </c>
      <c r="E13" s="271" t="s">
        <v>2347</v>
      </c>
      <c r="F13" s="313">
        <v>436.20524999999998</v>
      </c>
      <c r="G13" s="728">
        <v>482.33250000000004</v>
      </c>
      <c r="H13" s="339">
        <v>0.45</v>
      </c>
      <c r="I13" s="341"/>
      <c r="J13" s="341"/>
      <c r="L13" s="3"/>
      <c r="M13" s="3"/>
      <c r="N13" s="3"/>
    </row>
    <row r="14" spans="1:14">
      <c r="A14" s="531" t="s">
        <v>2719</v>
      </c>
      <c r="B14" s="271">
        <v>2.5</v>
      </c>
      <c r="C14" s="272">
        <v>8</v>
      </c>
      <c r="D14" s="271">
        <v>650</v>
      </c>
      <c r="E14" s="271" t="s">
        <v>2347</v>
      </c>
      <c r="F14" s="313">
        <v>455.51024999999993</v>
      </c>
      <c r="G14" s="728">
        <v>506.28825000000006</v>
      </c>
      <c r="H14" s="339">
        <v>0.45</v>
      </c>
      <c r="I14" s="341"/>
      <c r="J14" s="341"/>
      <c r="L14" s="3"/>
      <c r="M14" s="3"/>
      <c r="N14" s="3"/>
    </row>
    <row r="15" spans="1:14">
      <c r="A15" s="531" t="s">
        <v>2720</v>
      </c>
      <c r="B15" s="271">
        <v>2.5</v>
      </c>
      <c r="C15" s="272">
        <v>8</v>
      </c>
      <c r="D15" s="271">
        <v>700</v>
      </c>
      <c r="E15" s="271" t="s">
        <v>2347</v>
      </c>
      <c r="F15" s="313">
        <v>493.79850000000005</v>
      </c>
      <c r="G15" s="728">
        <v>552.32775000000004</v>
      </c>
      <c r="H15" s="339">
        <v>0.45</v>
      </c>
      <c r="I15" s="341"/>
      <c r="J15" s="341"/>
      <c r="L15" s="3"/>
      <c r="M15" s="3"/>
      <c r="N15" s="3"/>
    </row>
    <row r="16" spans="1:14">
      <c r="A16" s="531" t="s">
        <v>2721</v>
      </c>
      <c r="B16" s="271">
        <v>2.5</v>
      </c>
      <c r="C16" s="272">
        <v>8</v>
      </c>
      <c r="D16" s="271">
        <v>750</v>
      </c>
      <c r="E16" s="271" t="s">
        <v>2347</v>
      </c>
      <c r="F16" s="313">
        <v>513.86400000000003</v>
      </c>
      <c r="G16" s="728">
        <v>577.26337500000011</v>
      </c>
      <c r="H16" s="339">
        <v>0.45</v>
      </c>
      <c r="I16" s="341"/>
      <c r="J16" s="341"/>
      <c r="L16" s="3"/>
      <c r="M16" s="3"/>
      <c r="N16" s="3"/>
    </row>
    <row r="17" spans="1:14">
      <c r="A17" s="531" t="s">
        <v>2722</v>
      </c>
      <c r="B17" s="271">
        <v>2.5</v>
      </c>
      <c r="C17" s="272">
        <v>8</v>
      </c>
      <c r="D17" s="271">
        <v>800</v>
      </c>
      <c r="E17" s="271" t="s">
        <v>2347</v>
      </c>
      <c r="F17" s="313">
        <v>533.92949999999996</v>
      </c>
      <c r="G17" s="728">
        <v>602.21362500000009</v>
      </c>
      <c r="H17" s="339">
        <v>0.45</v>
      </c>
      <c r="I17" s="341"/>
      <c r="J17" s="341"/>
      <c r="L17" s="3"/>
      <c r="M17" s="3"/>
      <c r="N17" s="3"/>
    </row>
    <row r="18" spans="1:14">
      <c r="A18" s="531" t="s">
        <v>2723</v>
      </c>
      <c r="B18" s="271">
        <v>2.5</v>
      </c>
      <c r="C18" s="272">
        <v>8</v>
      </c>
      <c r="D18" s="271">
        <v>850</v>
      </c>
      <c r="E18" s="271" t="s">
        <v>2347</v>
      </c>
      <c r="F18" s="313">
        <v>554.00962500000003</v>
      </c>
      <c r="G18" s="728">
        <v>627.16387500000008</v>
      </c>
      <c r="H18" s="339">
        <v>0.45</v>
      </c>
      <c r="I18" s="341"/>
      <c r="J18" s="341"/>
      <c r="L18" s="3"/>
      <c r="M18" s="3"/>
      <c r="N18" s="3"/>
    </row>
    <row r="19" spans="1:14" ht="14.95" thickBot="1">
      <c r="A19" s="532" t="s">
        <v>2724</v>
      </c>
      <c r="B19" s="273">
        <v>2.5</v>
      </c>
      <c r="C19" s="274">
        <v>8</v>
      </c>
      <c r="D19" s="273">
        <v>900</v>
      </c>
      <c r="E19" s="273" t="s">
        <v>2347</v>
      </c>
      <c r="F19" s="313">
        <v>574.07512500000007</v>
      </c>
      <c r="G19" s="728">
        <v>652.09950000000003</v>
      </c>
      <c r="H19" s="339">
        <v>0.45</v>
      </c>
      <c r="I19" s="341"/>
      <c r="J19" s="341"/>
      <c r="L19" s="3"/>
      <c r="M19" s="3"/>
      <c r="N19" s="3"/>
    </row>
    <row r="20" spans="1:14" ht="16.3" thickBot="1">
      <c r="A20" s="934" t="s">
        <v>2773</v>
      </c>
      <c r="B20" s="935"/>
      <c r="C20" s="935"/>
      <c r="D20" s="935"/>
      <c r="E20" s="935"/>
      <c r="F20" s="935"/>
      <c r="G20" s="936"/>
      <c r="H20" s="339"/>
      <c r="I20" s="341"/>
      <c r="J20" s="341"/>
      <c r="L20" s="3"/>
      <c r="M20" s="3"/>
    </row>
    <row r="21" spans="1:14">
      <c r="A21" s="530" t="s">
        <v>2725</v>
      </c>
      <c r="B21" s="331">
        <v>2.5</v>
      </c>
      <c r="C21" s="331">
        <v>6</v>
      </c>
      <c r="D21" s="332">
        <v>200</v>
      </c>
      <c r="E21" s="275" t="s">
        <v>2347</v>
      </c>
      <c r="F21" s="313">
        <v>406.47262500000005</v>
      </c>
      <c r="G21" s="728">
        <v>436.67325</v>
      </c>
      <c r="H21" s="339">
        <v>0.45</v>
      </c>
      <c r="I21" s="341"/>
      <c r="J21" s="341"/>
      <c r="L21" s="3"/>
      <c r="M21" s="3"/>
      <c r="N21" s="3"/>
    </row>
    <row r="22" spans="1:14">
      <c r="A22" s="531" t="s">
        <v>2726</v>
      </c>
      <c r="B22" s="333">
        <v>2.5</v>
      </c>
      <c r="C22" s="333">
        <v>6</v>
      </c>
      <c r="D22" s="334">
        <v>250</v>
      </c>
      <c r="E22" s="271" t="s">
        <v>2347</v>
      </c>
      <c r="F22" s="313">
        <v>444.26362500000005</v>
      </c>
      <c r="G22" s="728">
        <v>484.64325000000002</v>
      </c>
      <c r="H22" s="339">
        <v>0.45</v>
      </c>
      <c r="I22" s="341"/>
      <c r="J22" s="341"/>
      <c r="L22" s="3"/>
      <c r="M22" s="3"/>
      <c r="N22" s="3"/>
    </row>
    <row r="23" spans="1:14">
      <c r="A23" s="531" t="s">
        <v>2727</v>
      </c>
      <c r="B23" s="333">
        <v>2.5</v>
      </c>
      <c r="C23" s="333">
        <v>6</v>
      </c>
      <c r="D23" s="334">
        <v>300</v>
      </c>
      <c r="E23" s="271" t="s">
        <v>2347</v>
      </c>
      <c r="F23" s="313">
        <v>482.0546250000001</v>
      </c>
      <c r="G23" s="728">
        <v>554.77012500000001</v>
      </c>
      <c r="H23" s="339">
        <v>0.45</v>
      </c>
      <c r="I23" s="341"/>
      <c r="J23" s="341"/>
      <c r="L23" s="3"/>
      <c r="M23" s="3"/>
      <c r="N23" s="3"/>
    </row>
    <row r="24" spans="1:14">
      <c r="A24" s="531" t="s">
        <v>2728</v>
      </c>
      <c r="B24" s="333">
        <v>2.5</v>
      </c>
      <c r="C24" s="333">
        <v>6</v>
      </c>
      <c r="D24" s="334">
        <v>350</v>
      </c>
      <c r="E24" s="271" t="s">
        <v>2347</v>
      </c>
      <c r="F24" s="313">
        <v>519.86025000000006</v>
      </c>
      <c r="G24" s="728">
        <v>604.71450000000004</v>
      </c>
      <c r="H24" s="339">
        <v>0.45</v>
      </c>
      <c r="I24" s="341"/>
      <c r="J24" s="341"/>
      <c r="L24" s="3"/>
      <c r="M24" s="3"/>
      <c r="N24" s="3"/>
    </row>
    <row r="25" spans="1:14">
      <c r="A25" s="531" t="s">
        <v>2729</v>
      </c>
      <c r="B25" s="333">
        <v>2.5</v>
      </c>
      <c r="C25" s="333">
        <v>8</v>
      </c>
      <c r="D25" s="334">
        <v>400</v>
      </c>
      <c r="E25" s="271" t="s">
        <v>2347</v>
      </c>
      <c r="F25" s="313">
        <v>605.08012500000007</v>
      </c>
      <c r="G25" s="728">
        <v>687.30187500000011</v>
      </c>
      <c r="H25" s="339">
        <v>0.45</v>
      </c>
      <c r="I25" s="341"/>
      <c r="J25" s="341"/>
      <c r="L25" s="3"/>
      <c r="M25" s="3"/>
      <c r="N25" s="3"/>
    </row>
    <row r="26" spans="1:14">
      <c r="A26" s="531" t="s">
        <v>2730</v>
      </c>
      <c r="B26" s="333">
        <v>2.5</v>
      </c>
      <c r="C26" s="333">
        <v>8</v>
      </c>
      <c r="D26" s="334">
        <v>450</v>
      </c>
      <c r="E26" s="271" t="s">
        <v>2347</v>
      </c>
      <c r="F26" s="313">
        <v>642.88574999999992</v>
      </c>
      <c r="G26" s="728">
        <v>765.8966250000002</v>
      </c>
      <c r="H26" s="339">
        <v>0.45</v>
      </c>
      <c r="I26" s="341"/>
      <c r="J26" s="341"/>
      <c r="L26" s="3"/>
      <c r="M26" s="3"/>
      <c r="N26" s="3"/>
    </row>
    <row r="27" spans="1:14">
      <c r="A27" s="531" t="s">
        <v>2731</v>
      </c>
      <c r="B27" s="333">
        <v>2.5</v>
      </c>
      <c r="C27" s="333">
        <v>8</v>
      </c>
      <c r="D27" s="334">
        <v>500</v>
      </c>
      <c r="E27" s="271" t="s">
        <v>2347</v>
      </c>
      <c r="F27" s="313">
        <v>680.67675000000008</v>
      </c>
      <c r="G27" s="728">
        <v>815.84100000000024</v>
      </c>
      <c r="H27" s="339">
        <v>0.45</v>
      </c>
      <c r="I27" s="341"/>
      <c r="J27" s="341"/>
      <c r="L27" s="3"/>
      <c r="M27" s="3"/>
      <c r="N27" s="3"/>
    </row>
    <row r="28" spans="1:14">
      <c r="A28" s="531" t="s">
        <v>2732</v>
      </c>
      <c r="B28" s="333">
        <v>2.5</v>
      </c>
      <c r="C28" s="333">
        <v>8</v>
      </c>
      <c r="D28" s="334">
        <v>550</v>
      </c>
      <c r="E28" s="271" t="s">
        <v>2347</v>
      </c>
      <c r="F28" s="313">
        <v>718.453125</v>
      </c>
      <c r="G28" s="728">
        <v>865.78537499999993</v>
      </c>
      <c r="H28" s="339">
        <v>0.45</v>
      </c>
      <c r="I28" s="341"/>
      <c r="J28" s="341"/>
      <c r="L28" s="3"/>
      <c r="M28" s="3"/>
      <c r="N28" s="3"/>
    </row>
    <row r="29" spans="1:14">
      <c r="A29" s="531" t="s">
        <v>2733</v>
      </c>
      <c r="B29" s="333">
        <v>2.5</v>
      </c>
      <c r="C29" s="333">
        <v>8</v>
      </c>
      <c r="D29" s="334">
        <v>600</v>
      </c>
      <c r="E29" s="271" t="s">
        <v>2347</v>
      </c>
      <c r="F29" s="313">
        <v>756.25875000000008</v>
      </c>
      <c r="G29" s="728">
        <v>915.72974999999997</v>
      </c>
      <c r="H29" s="339">
        <v>0.45</v>
      </c>
      <c r="I29" s="341"/>
      <c r="J29" s="341"/>
      <c r="L29" s="3"/>
      <c r="M29" s="3"/>
      <c r="N29" s="3"/>
    </row>
    <row r="30" spans="1:14">
      <c r="A30" s="531" t="s">
        <v>2734</v>
      </c>
      <c r="B30" s="333">
        <v>2.5</v>
      </c>
      <c r="C30" s="333">
        <v>8</v>
      </c>
      <c r="D30" s="334">
        <v>650</v>
      </c>
      <c r="E30" s="271" t="s">
        <v>2347</v>
      </c>
      <c r="F30" s="313">
        <v>794.06437500000015</v>
      </c>
      <c r="G30" s="728">
        <v>965.68875000000003</v>
      </c>
      <c r="H30" s="339">
        <v>0.45</v>
      </c>
      <c r="I30" s="341"/>
      <c r="J30" s="341"/>
      <c r="L30" s="3"/>
      <c r="M30" s="3"/>
      <c r="N30" s="3"/>
    </row>
    <row r="31" spans="1:14">
      <c r="A31" s="531" t="s">
        <v>2735</v>
      </c>
      <c r="B31" s="333">
        <v>2.5</v>
      </c>
      <c r="C31" s="333">
        <v>8</v>
      </c>
      <c r="D31" s="334">
        <v>700</v>
      </c>
      <c r="E31" s="271" t="s">
        <v>2347</v>
      </c>
      <c r="F31" s="313">
        <v>831.85537500000009</v>
      </c>
      <c r="G31" s="728">
        <v>1056.261375</v>
      </c>
      <c r="H31" s="339">
        <v>0.45</v>
      </c>
      <c r="I31" s="341"/>
      <c r="J31" s="341"/>
      <c r="L31" s="3"/>
      <c r="M31" s="3"/>
      <c r="N31" s="3"/>
    </row>
    <row r="32" spans="1:14">
      <c r="A32" s="531" t="s">
        <v>2736</v>
      </c>
      <c r="B32" s="333">
        <v>2.5</v>
      </c>
      <c r="C32" s="333">
        <v>8</v>
      </c>
      <c r="D32" s="334">
        <v>750</v>
      </c>
      <c r="E32" s="271" t="s">
        <v>2347</v>
      </c>
      <c r="F32" s="313">
        <v>869.64637500000003</v>
      </c>
      <c r="G32" s="728">
        <v>1108.2093750000001</v>
      </c>
      <c r="H32" s="339">
        <v>0.45</v>
      </c>
      <c r="I32" s="341"/>
      <c r="J32" s="341"/>
      <c r="L32" s="3"/>
      <c r="M32" s="3"/>
      <c r="N32" s="3"/>
    </row>
    <row r="33" spans="1:14">
      <c r="A33" s="531" t="s">
        <v>2737</v>
      </c>
      <c r="B33" s="333">
        <v>2.5</v>
      </c>
      <c r="C33" s="333">
        <v>8</v>
      </c>
      <c r="D33" s="334">
        <v>800</v>
      </c>
      <c r="E33" s="271" t="s">
        <v>2347</v>
      </c>
      <c r="F33" s="313">
        <v>907.45200000000011</v>
      </c>
      <c r="G33" s="728">
        <v>1204.763625</v>
      </c>
      <c r="H33" s="339">
        <v>0.45</v>
      </c>
      <c r="I33" s="341"/>
      <c r="J33" s="341"/>
      <c r="L33" s="3"/>
      <c r="M33" s="3"/>
      <c r="N33" s="3"/>
    </row>
    <row r="34" spans="1:14">
      <c r="A34" s="531" t="s">
        <v>2738</v>
      </c>
      <c r="B34" s="333">
        <v>2.5</v>
      </c>
      <c r="C34" s="333">
        <v>8</v>
      </c>
      <c r="D34" s="334">
        <v>850</v>
      </c>
      <c r="E34" s="271" t="s">
        <v>2347</v>
      </c>
      <c r="F34" s="313">
        <v>945.25762500000019</v>
      </c>
      <c r="G34" s="728">
        <v>1258.71525</v>
      </c>
      <c r="H34" s="339">
        <v>0.45</v>
      </c>
      <c r="I34" s="341"/>
      <c r="J34" s="341"/>
      <c r="L34" s="3"/>
      <c r="M34" s="3"/>
      <c r="N34" s="3"/>
    </row>
    <row r="35" spans="1:14" ht="14.95" thickBot="1">
      <c r="A35" s="532" t="s">
        <v>2739</v>
      </c>
      <c r="B35" s="335">
        <v>2.5</v>
      </c>
      <c r="C35" s="335">
        <v>8</v>
      </c>
      <c r="D35" s="336">
        <v>900</v>
      </c>
      <c r="E35" s="273" t="s">
        <v>2347</v>
      </c>
      <c r="F35" s="313">
        <v>983.04862500000002</v>
      </c>
      <c r="G35" s="728">
        <v>1312.6522499999999</v>
      </c>
      <c r="H35" s="339">
        <v>0.45</v>
      </c>
      <c r="I35" s="341"/>
      <c r="J35" s="341"/>
      <c r="L35" s="3"/>
      <c r="M35" s="3"/>
      <c r="N35" s="3"/>
    </row>
    <row r="36" spans="1:14" ht="16.3" thickBot="1">
      <c r="A36" s="934" t="s">
        <v>2774</v>
      </c>
      <c r="B36" s="935"/>
      <c r="C36" s="935"/>
      <c r="D36" s="935"/>
      <c r="E36" s="935"/>
      <c r="F36" s="935"/>
      <c r="G36" s="936"/>
      <c r="H36" s="339">
        <v>0.45</v>
      </c>
      <c r="I36" s="341"/>
      <c r="J36" s="341"/>
      <c r="L36" s="3"/>
      <c r="M36" s="3"/>
      <c r="N36" s="3"/>
    </row>
    <row r="37" spans="1:14">
      <c r="A37" s="530" t="s">
        <v>2740</v>
      </c>
      <c r="B37" s="275">
        <v>2.5</v>
      </c>
      <c r="C37" s="330">
        <v>6</v>
      </c>
      <c r="D37" s="275">
        <v>100</v>
      </c>
      <c r="E37" s="275" t="s">
        <v>2347</v>
      </c>
      <c r="F37" s="313">
        <v>205.33500000000001</v>
      </c>
      <c r="G37" s="728">
        <v>218.21962500000001</v>
      </c>
      <c r="H37" s="339">
        <v>0.45</v>
      </c>
      <c r="I37" s="341"/>
      <c r="J37" s="341"/>
      <c r="L37" s="3"/>
      <c r="M37" s="3"/>
      <c r="N37" s="3"/>
    </row>
    <row r="38" spans="1:14">
      <c r="A38" s="531" t="s">
        <v>2741</v>
      </c>
      <c r="B38" s="271">
        <v>2.5</v>
      </c>
      <c r="C38" s="272">
        <v>6</v>
      </c>
      <c r="D38" s="271">
        <v>150</v>
      </c>
      <c r="E38" s="271" t="s">
        <v>2347</v>
      </c>
      <c r="F38" s="313">
        <v>228.06225000000001</v>
      </c>
      <c r="G38" s="728">
        <v>248.84437500000004</v>
      </c>
      <c r="H38" s="339">
        <v>0.45</v>
      </c>
      <c r="I38" s="341"/>
      <c r="J38" s="341"/>
      <c r="L38" s="3"/>
      <c r="M38" s="3"/>
      <c r="N38" s="3"/>
    </row>
    <row r="39" spans="1:14">
      <c r="A39" s="531" t="s">
        <v>2742</v>
      </c>
      <c r="B39" s="271">
        <v>2.5</v>
      </c>
      <c r="C39" s="272">
        <v>6</v>
      </c>
      <c r="D39" s="271">
        <v>200</v>
      </c>
      <c r="E39" s="271" t="s">
        <v>2347</v>
      </c>
      <c r="F39" s="313">
        <v>261.71437500000002</v>
      </c>
      <c r="G39" s="728">
        <v>279.48375000000004</v>
      </c>
      <c r="H39" s="339">
        <v>0.45</v>
      </c>
      <c r="I39" s="341"/>
      <c r="J39" s="341"/>
      <c r="L39" s="3"/>
      <c r="M39" s="3"/>
      <c r="N39" s="3"/>
    </row>
    <row r="40" spans="1:14">
      <c r="A40" s="531" t="s">
        <v>2743</v>
      </c>
      <c r="B40" s="271">
        <v>2.5</v>
      </c>
      <c r="C40" s="272">
        <v>6</v>
      </c>
      <c r="D40" s="271">
        <v>250</v>
      </c>
      <c r="E40" s="271" t="s">
        <v>2347</v>
      </c>
      <c r="F40" s="313">
        <v>285.436125</v>
      </c>
      <c r="G40" s="728">
        <v>310.10849999999999</v>
      </c>
      <c r="H40" s="339">
        <v>0.45</v>
      </c>
      <c r="I40" s="341"/>
      <c r="J40" s="341"/>
      <c r="L40" s="3"/>
      <c r="M40" s="3"/>
      <c r="N40" s="3"/>
    </row>
    <row r="41" spans="1:14">
      <c r="A41" s="531" t="s">
        <v>2744</v>
      </c>
      <c r="B41" s="271">
        <v>2.5</v>
      </c>
      <c r="C41" s="272">
        <v>6</v>
      </c>
      <c r="D41" s="271">
        <v>300</v>
      </c>
      <c r="E41" s="271" t="s">
        <v>2347</v>
      </c>
      <c r="F41" s="313">
        <v>309.17250000000001</v>
      </c>
      <c r="G41" s="728">
        <v>340.73325000000006</v>
      </c>
      <c r="H41" s="339">
        <v>0.45</v>
      </c>
      <c r="I41" s="341"/>
      <c r="J41" s="341"/>
      <c r="L41" s="3"/>
      <c r="M41" s="3"/>
      <c r="N41" s="3"/>
    </row>
    <row r="42" spans="1:14">
      <c r="A42" s="531" t="s">
        <v>2745</v>
      </c>
      <c r="B42" s="271">
        <v>2.5</v>
      </c>
      <c r="C42" s="272">
        <v>6</v>
      </c>
      <c r="D42" s="271">
        <v>350</v>
      </c>
      <c r="E42" s="271" t="s">
        <v>2347</v>
      </c>
      <c r="F42" s="313">
        <v>332.90887499999997</v>
      </c>
      <c r="G42" s="728">
        <v>371.34337500000004</v>
      </c>
      <c r="H42" s="339">
        <v>0.45</v>
      </c>
      <c r="I42" s="341"/>
      <c r="J42" s="341"/>
      <c r="L42" s="3"/>
      <c r="M42" s="3"/>
      <c r="N42" s="3"/>
    </row>
    <row r="43" spans="1:14">
      <c r="A43" s="531" t="s">
        <v>2746</v>
      </c>
      <c r="B43" s="271">
        <v>2.5</v>
      </c>
      <c r="C43" s="272">
        <v>8</v>
      </c>
      <c r="D43" s="271">
        <v>400</v>
      </c>
      <c r="E43" s="271" t="s">
        <v>2347</v>
      </c>
      <c r="F43" s="313">
        <v>356.61599999999999</v>
      </c>
      <c r="G43" s="728">
        <v>443.883375</v>
      </c>
      <c r="H43" s="339">
        <v>0.45</v>
      </c>
      <c r="I43" s="341"/>
      <c r="J43" s="341"/>
      <c r="L43" s="3"/>
      <c r="M43" s="3"/>
      <c r="N43" s="3"/>
    </row>
    <row r="44" spans="1:14">
      <c r="A44" s="531" t="s">
        <v>2747</v>
      </c>
      <c r="B44" s="271">
        <v>2.5</v>
      </c>
      <c r="C44" s="272">
        <v>8</v>
      </c>
      <c r="D44" s="271">
        <v>450</v>
      </c>
      <c r="E44" s="271" t="s">
        <v>2347</v>
      </c>
      <c r="F44" s="313">
        <v>413.96062500000005</v>
      </c>
      <c r="G44" s="728">
        <v>474.50812500000006</v>
      </c>
      <c r="H44" s="339">
        <v>0.45</v>
      </c>
      <c r="I44" s="341"/>
      <c r="J44" s="341"/>
      <c r="L44" s="3"/>
      <c r="M44" s="3"/>
      <c r="N44" s="3"/>
    </row>
    <row r="45" spans="1:14">
      <c r="A45" s="531" t="s">
        <v>2748</v>
      </c>
      <c r="B45" s="271">
        <v>2.5</v>
      </c>
      <c r="C45" s="272">
        <v>8</v>
      </c>
      <c r="D45" s="271">
        <v>500</v>
      </c>
      <c r="E45" s="271" t="s">
        <v>2347</v>
      </c>
      <c r="F45" s="313">
        <v>437.66775000000001</v>
      </c>
      <c r="G45" s="728">
        <v>505.13287500000001</v>
      </c>
      <c r="H45" s="339">
        <v>0.45</v>
      </c>
      <c r="I45" s="341"/>
      <c r="J45" s="341"/>
      <c r="L45" s="3"/>
      <c r="M45" s="3"/>
      <c r="N45" s="3"/>
    </row>
    <row r="46" spans="1:14">
      <c r="A46" s="531" t="s">
        <v>2749</v>
      </c>
      <c r="B46" s="271">
        <v>2.5</v>
      </c>
      <c r="C46" s="272">
        <v>8</v>
      </c>
      <c r="D46" s="271">
        <v>550</v>
      </c>
      <c r="E46" s="271" t="s">
        <v>2347</v>
      </c>
      <c r="F46" s="313">
        <v>461.41875000000005</v>
      </c>
      <c r="G46" s="728">
        <v>535.75762499999996</v>
      </c>
      <c r="H46" s="339">
        <v>0.45</v>
      </c>
      <c r="I46" s="341"/>
      <c r="J46" s="341"/>
      <c r="L46" s="3"/>
      <c r="M46" s="3"/>
      <c r="N46" s="3"/>
    </row>
    <row r="47" spans="1:14">
      <c r="A47" s="531" t="s">
        <v>2750</v>
      </c>
      <c r="B47" s="271">
        <v>2.5</v>
      </c>
      <c r="C47" s="272">
        <v>8</v>
      </c>
      <c r="D47" s="271">
        <v>600</v>
      </c>
      <c r="E47" s="271" t="s">
        <v>2347</v>
      </c>
      <c r="F47" s="313">
        <v>485.14050000000003</v>
      </c>
      <c r="G47" s="728">
        <v>566.38237500000002</v>
      </c>
      <c r="H47" s="339">
        <v>0.45</v>
      </c>
      <c r="I47" s="341"/>
      <c r="J47" s="341"/>
      <c r="L47" s="3"/>
      <c r="M47" s="3"/>
      <c r="N47" s="3"/>
    </row>
    <row r="48" spans="1:14">
      <c r="A48" s="531" t="s">
        <v>2751</v>
      </c>
      <c r="B48" s="271">
        <v>2.5</v>
      </c>
      <c r="C48" s="272">
        <v>8</v>
      </c>
      <c r="D48" s="271">
        <v>650</v>
      </c>
      <c r="E48" s="271" t="s">
        <v>2347</v>
      </c>
      <c r="F48" s="313">
        <v>508.86225000000002</v>
      </c>
      <c r="G48" s="728">
        <v>597.00712499999997</v>
      </c>
      <c r="H48" s="339">
        <v>0.45</v>
      </c>
      <c r="I48" s="341"/>
      <c r="J48" s="341"/>
      <c r="L48" s="3"/>
      <c r="M48" s="3"/>
      <c r="N48" s="3"/>
    </row>
    <row r="49" spans="1:14">
      <c r="A49" s="531" t="s">
        <v>2752</v>
      </c>
      <c r="B49" s="271">
        <v>2.5</v>
      </c>
      <c r="C49" s="272">
        <v>8</v>
      </c>
      <c r="D49" s="271">
        <v>700</v>
      </c>
      <c r="E49" s="271" t="s">
        <v>2347</v>
      </c>
      <c r="F49" s="313">
        <v>554.78475000000003</v>
      </c>
      <c r="G49" s="728">
        <v>653.81062500000007</v>
      </c>
      <c r="H49" s="339">
        <v>0.45</v>
      </c>
      <c r="I49" s="341"/>
      <c r="J49" s="341"/>
      <c r="L49" s="3"/>
      <c r="M49" s="3"/>
      <c r="N49" s="3"/>
    </row>
    <row r="50" spans="1:14">
      <c r="A50" s="531" t="s">
        <v>2753</v>
      </c>
      <c r="B50" s="271">
        <v>2.5</v>
      </c>
      <c r="C50" s="272">
        <v>8</v>
      </c>
      <c r="D50" s="271">
        <v>750</v>
      </c>
      <c r="E50" s="271" t="s">
        <v>2347</v>
      </c>
      <c r="F50" s="313">
        <v>579.50100000000009</v>
      </c>
      <c r="G50" s="728">
        <v>685.69312500000001</v>
      </c>
      <c r="H50" s="339">
        <v>0.45</v>
      </c>
      <c r="I50" s="341"/>
      <c r="J50" s="341"/>
      <c r="L50" s="3"/>
      <c r="M50" s="3"/>
      <c r="N50" s="3"/>
    </row>
    <row r="51" spans="1:14">
      <c r="A51" s="531" t="s">
        <v>2754</v>
      </c>
      <c r="B51" s="271">
        <v>2.5</v>
      </c>
      <c r="C51" s="272">
        <v>8</v>
      </c>
      <c r="D51" s="271">
        <v>800</v>
      </c>
      <c r="E51" s="271" t="s">
        <v>2347</v>
      </c>
      <c r="F51" s="313">
        <v>604.21725000000004</v>
      </c>
      <c r="G51" s="728">
        <v>717.59025000000008</v>
      </c>
      <c r="H51" s="339">
        <v>0.45</v>
      </c>
      <c r="I51" s="341"/>
      <c r="J51" s="341"/>
      <c r="L51" s="3"/>
      <c r="M51" s="3"/>
      <c r="N51" s="3"/>
    </row>
    <row r="52" spans="1:14">
      <c r="A52" s="531" t="s">
        <v>2755</v>
      </c>
      <c r="B52" s="271">
        <v>2.5</v>
      </c>
      <c r="C52" s="272">
        <v>8</v>
      </c>
      <c r="D52" s="271">
        <v>850</v>
      </c>
      <c r="E52" s="271" t="s">
        <v>2347</v>
      </c>
      <c r="F52" s="313">
        <v>628.91887500000007</v>
      </c>
      <c r="G52" s="728">
        <v>749.50200000000007</v>
      </c>
      <c r="H52" s="339">
        <v>0.45</v>
      </c>
      <c r="I52" s="341"/>
      <c r="J52" s="341"/>
      <c r="L52" s="3"/>
      <c r="M52" s="3"/>
      <c r="N52" s="3"/>
    </row>
    <row r="53" spans="1:14" ht="14.95" thickBot="1">
      <c r="A53" s="532" t="s">
        <v>2756</v>
      </c>
      <c r="B53" s="273">
        <v>2.5</v>
      </c>
      <c r="C53" s="274">
        <v>8</v>
      </c>
      <c r="D53" s="273">
        <v>900</v>
      </c>
      <c r="E53" s="273" t="s">
        <v>2347</v>
      </c>
      <c r="F53" s="313">
        <v>665.24737500000003</v>
      </c>
      <c r="G53" s="728">
        <v>781.39912500000014</v>
      </c>
      <c r="H53" s="339">
        <v>0.45</v>
      </c>
      <c r="I53" s="341"/>
      <c r="J53" s="341"/>
      <c r="L53" s="3"/>
      <c r="M53" s="3"/>
      <c r="N53" s="3"/>
    </row>
    <row r="54" spans="1:14" ht="16.3" thickBot="1">
      <c r="A54" s="934" t="s">
        <v>2775</v>
      </c>
      <c r="B54" s="935"/>
      <c r="C54" s="935"/>
      <c r="D54" s="935"/>
      <c r="E54" s="935"/>
      <c r="F54" s="935"/>
      <c r="G54" s="936"/>
      <c r="H54" s="339">
        <v>0.45</v>
      </c>
      <c r="I54" s="341"/>
      <c r="J54" s="341"/>
      <c r="L54" s="3"/>
      <c r="M54" s="3"/>
      <c r="N54" s="3"/>
    </row>
    <row r="55" spans="1:14">
      <c r="A55" s="530" t="s">
        <v>2757</v>
      </c>
      <c r="B55" s="331">
        <v>2.5</v>
      </c>
      <c r="C55" s="331">
        <v>6</v>
      </c>
      <c r="D55" s="332">
        <v>200</v>
      </c>
      <c r="E55" s="275" t="s">
        <v>2347</v>
      </c>
      <c r="F55" s="313">
        <v>462.92512499999998</v>
      </c>
      <c r="G55" s="728">
        <v>501.69600000000008</v>
      </c>
      <c r="H55" s="339">
        <v>0.45</v>
      </c>
      <c r="I55" s="341"/>
      <c r="J55" s="341"/>
      <c r="L55" s="3"/>
      <c r="M55" s="3"/>
      <c r="N55" s="3"/>
    </row>
    <row r="56" spans="1:14">
      <c r="A56" s="531" t="s">
        <v>2758</v>
      </c>
      <c r="B56" s="333">
        <v>2.5</v>
      </c>
      <c r="C56" s="333">
        <v>6</v>
      </c>
      <c r="D56" s="334">
        <v>250</v>
      </c>
      <c r="E56" s="271" t="s">
        <v>2347</v>
      </c>
      <c r="F56" s="313">
        <v>513.55687499999999</v>
      </c>
      <c r="G56" s="728">
        <v>564.65662499999996</v>
      </c>
      <c r="H56" s="339">
        <v>0.45</v>
      </c>
      <c r="I56" s="341"/>
      <c r="J56" s="341"/>
      <c r="L56" s="3"/>
      <c r="M56" s="3"/>
      <c r="N56" s="3"/>
    </row>
    <row r="57" spans="1:14">
      <c r="A57" s="531" t="s">
        <v>2759</v>
      </c>
      <c r="B57" s="333">
        <v>2.5</v>
      </c>
      <c r="C57" s="333">
        <v>6</v>
      </c>
      <c r="D57" s="334">
        <v>300</v>
      </c>
      <c r="E57" s="271" t="s">
        <v>2347</v>
      </c>
      <c r="F57" s="313">
        <v>564.20325000000003</v>
      </c>
      <c r="G57" s="728">
        <v>653.81062500000007</v>
      </c>
      <c r="H57" s="339">
        <v>0.45</v>
      </c>
      <c r="I57" s="341"/>
      <c r="J57" s="341"/>
      <c r="L57" s="3"/>
      <c r="M57" s="3"/>
      <c r="N57" s="3"/>
    </row>
    <row r="58" spans="1:14">
      <c r="A58" s="531" t="s">
        <v>2760</v>
      </c>
      <c r="B58" s="333">
        <v>2.5</v>
      </c>
      <c r="C58" s="333">
        <v>6</v>
      </c>
      <c r="D58" s="334">
        <v>350</v>
      </c>
      <c r="E58" s="271" t="s">
        <v>2347</v>
      </c>
      <c r="F58" s="313">
        <v>614.83500000000004</v>
      </c>
      <c r="G58" s="728">
        <v>719.38912500000004</v>
      </c>
      <c r="H58" s="339">
        <v>0.45</v>
      </c>
      <c r="I58" s="341"/>
      <c r="J58" s="341"/>
      <c r="L58" s="3"/>
      <c r="M58" s="3"/>
      <c r="N58" s="3"/>
    </row>
    <row r="59" spans="1:14">
      <c r="A59" s="531" t="s">
        <v>2761</v>
      </c>
      <c r="B59" s="333">
        <v>2.5</v>
      </c>
      <c r="C59" s="333">
        <v>8</v>
      </c>
      <c r="D59" s="334">
        <v>400</v>
      </c>
      <c r="E59" s="271" t="s">
        <v>2347</v>
      </c>
      <c r="F59" s="313">
        <v>713.83162500000003</v>
      </c>
      <c r="G59" s="728">
        <v>813.60337500000003</v>
      </c>
      <c r="H59" s="339">
        <v>0.45</v>
      </c>
      <c r="I59" s="341"/>
      <c r="J59" s="341"/>
      <c r="L59" s="3"/>
      <c r="M59" s="3"/>
      <c r="N59" s="3"/>
    </row>
    <row r="60" spans="1:14">
      <c r="A60" s="531" t="s">
        <v>2762</v>
      </c>
      <c r="B60" s="333">
        <v>2.5</v>
      </c>
      <c r="C60" s="333">
        <v>8</v>
      </c>
      <c r="D60" s="334">
        <v>450</v>
      </c>
      <c r="E60" s="271" t="s">
        <v>2347</v>
      </c>
      <c r="F60" s="313">
        <v>764.46337500000004</v>
      </c>
      <c r="G60" s="728">
        <v>913.09725000000014</v>
      </c>
      <c r="H60" s="339">
        <v>0.45</v>
      </c>
      <c r="I60" s="341"/>
      <c r="J60" s="341"/>
      <c r="L60" s="3"/>
      <c r="M60" s="3"/>
      <c r="N60" s="3"/>
    </row>
    <row r="61" spans="1:14">
      <c r="A61" s="531" t="s">
        <v>2763</v>
      </c>
      <c r="B61" s="333">
        <v>2.5</v>
      </c>
      <c r="C61" s="333">
        <v>8</v>
      </c>
      <c r="D61" s="334">
        <v>500</v>
      </c>
      <c r="E61" s="271" t="s">
        <v>2347</v>
      </c>
      <c r="F61" s="313">
        <v>815.09512500000017</v>
      </c>
      <c r="G61" s="728">
        <v>978.70500000000004</v>
      </c>
      <c r="H61" s="339">
        <v>0.45</v>
      </c>
      <c r="I61" s="341"/>
      <c r="J61" s="341"/>
      <c r="L61" s="3"/>
      <c r="M61" s="3"/>
      <c r="N61" s="3"/>
    </row>
    <row r="62" spans="1:14">
      <c r="A62" s="531" t="s">
        <v>2764</v>
      </c>
      <c r="B62" s="333">
        <v>2.5</v>
      </c>
      <c r="C62" s="333">
        <v>8</v>
      </c>
      <c r="D62" s="334">
        <v>550</v>
      </c>
      <c r="E62" s="271" t="s">
        <v>2347</v>
      </c>
      <c r="F62" s="313">
        <v>865.7415000000002</v>
      </c>
      <c r="G62" s="728">
        <v>1044.298125</v>
      </c>
      <c r="H62" s="339">
        <v>0.45</v>
      </c>
      <c r="I62" s="341"/>
      <c r="J62" s="341"/>
      <c r="L62" s="3"/>
      <c r="M62" s="3"/>
      <c r="N62" s="3"/>
    </row>
    <row r="63" spans="1:14">
      <c r="A63" s="531" t="s">
        <v>2765</v>
      </c>
      <c r="B63" s="333">
        <v>2.5</v>
      </c>
      <c r="C63" s="333">
        <v>8</v>
      </c>
      <c r="D63" s="334">
        <v>600</v>
      </c>
      <c r="E63" s="271" t="s">
        <v>2347</v>
      </c>
      <c r="F63" s="313">
        <v>916.37325000000021</v>
      </c>
      <c r="G63" s="728">
        <v>1109.9058749999999</v>
      </c>
      <c r="H63" s="339">
        <v>0.45</v>
      </c>
      <c r="I63" s="341"/>
      <c r="J63" s="341"/>
      <c r="L63" s="3"/>
      <c r="M63" s="3"/>
      <c r="N63" s="3"/>
    </row>
    <row r="64" spans="1:14">
      <c r="A64" s="531" t="s">
        <v>2766</v>
      </c>
      <c r="B64" s="333">
        <v>2.5</v>
      </c>
      <c r="C64" s="333">
        <v>8</v>
      </c>
      <c r="D64" s="334">
        <v>650</v>
      </c>
      <c r="E64" s="271" t="s">
        <v>2347</v>
      </c>
      <c r="F64" s="313">
        <v>967.00500000000011</v>
      </c>
      <c r="G64" s="728">
        <v>1175.484375</v>
      </c>
      <c r="H64" s="339">
        <v>0.45</v>
      </c>
      <c r="I64" s="341"/>
      <c r="J64" s="341"/>
      <c r="L64" s="3"/>
      <c r="M64" s="3"/>
      <c r="N64" s="3"/>
    </row>
    <row r="65" spans="1:14">
      <c r="A65" s="531" t="s">
        <v>2767</v>
      </c>
      <c r="B65" s="333">
        <v>2.5</v>
      </c>
      <c r="C65" s="333">
        <v>8</v>
      </c>
      <c r="D65" s="334">
        <v>700</v>
      </c>
      <c r="E65" s="271" t="s">
        <v>2347</v>
      </c>
      <c r="F65" s="313">
        <v>1017.6513750000001</v>
      </c>
      <c r="G65" s="728">
        <v>1290.7293750000003</v>
      </c>
      <c r="H65" s="339">
        <v>0.45</v>
      </c>
      <c r="I65" s="341"/>
      <c r="J65" s="341"/>
      <c r="L65" s="3"/>
      <c r="M65" s="3"/>
      <c r="N65" s="3"/>
    </row>
    <row r="66" spans="1:14">
      <c r="A66" s="531" t="s">
        <v>2768</v>
      </c>
      <c r="B66" s="333">
        <v>2.5</v>
      </c>
      <c r="C66" s="333">
        <v>8</v>
      </c>
      <c r="D66" s="334">
        <v>750</v>
      </c>
      <c r="E66" s="271" t="s">
        <v>2347</v>
      </c>
      <c r="F66" s="313">
        <v>1068.2685000000001</v>
      </c>
      <c r="G66" s="728">
        <v>1358.9696250000002</v>
      </c>
      <c r="H66" s="339">
        <v>0.45</v>
      </c>
      <c r="I66" s="341"/>
      <c r="J66" s="341"/>
      <c r="L66" s="3"/>
      <c r="M66" s="3"/>
      <c r="N66" s="3"/>
    </row>
    <row r="67" spans="1:14">
      <c r="A67" s="531" t="s">
        <v>2769</v>
      </c>
      <c r="B67" s="333">
        <v>2.5</v>
      </c>
      <c r="C67" s="333">
        <v>8</v>
      </c>
      <c r="D67" s="334">
        <v>800</v>
      </c>
      <c r="E67" s="271" t="s">
        <v>2347</v>
      </c>
      <c r="F67" s="313">
        <v>1118.9148750000002</v>
      </c>
      <c r="G67" s="728">
        <v>1482.0975000000001</v>
      </c>
      <c r="H67" s="339">
        <v>0.45</v>
      </c>
      <c r="I67" s="341"/>
      <c r="J67" s="341"/>
      <c r="L67" s="3"/>
      <c r="M67" s="3"/>
      <c r="N67" s="3"/>
    </row>
    <row r="68" spans="1:14">
      <c r="A68" s="531" t="s">
        <v>2770</v>
      </c>
      <c r="B68" s="333">
        <v>2.5</v>
      </c>
      <c r="C68" s="333">
        <v>8</v>
      </c>
      <c r="D68" s="334">
        <v>850</v>
      </c>
      <c r="E68" s="271" t="s">
        <v>2347</v>
      </c>
      <c r="F68" s="313">
        <v>1169.5612500000002</v>
      </c>
      <c r="G68" s="728">
        <v>1552.9263749999998</v>
      </c>
      <c r="H68" s="339">
        <v>0.45</v>
      </c>
      <c r="I68" s="341"/>
      <c r="J68" s="341"/>
      <c r="L68" s="3"/>
      <c r="M68" s="3"/>
      <c r="N68" s="3"/>
    </row>
    <row r="69" spans="1:14" ht="14.95" thickBot="1">
      <c r="A69" s="532" t="s">
        <v>2771</v>
      </c>
      <c r="B69" s="335">
        <v>2.5</v>
      </c>
      <c r="C69" s="335">
        <v>8</v>
      </c>
      <c r="D69" s="336">
        <v>900</v>
      </c>
      <c r="E69" s="273" t="s">
        <v>2347</v>
      </c>
      <c r="F69" s="315">
        <v>1220.1930000000002</v>
      </c>
      <c r="G69" s="729">
        <v>1623.7698750000002</v>
      </c>
      <c r="H69" s="340">
        <v>0.45</v>
      </c>
      <c r="I69" s="341"/>
      <c r="J69" s="341"/>
      <c r="L69" s="3"/>
      <c r="M69" s="3"/>
      <c r="N69" s="3"/>
    </row>
    <row r="70" spans="1:14" s="342" customFormat="1">
      <c r="A70" s="533"/>
      <c r="B70" s="328"/>
      <c r="C70" s="328"/>
      <c r="D70" s="328"/>
      <c r="E70" s="328"/>
      <c r="F70" s="328"/>
      <c r="G70" s="328"/>
      <c r="H70" s="328"/>
      <c r="I70" s="328"/>
    </row>
    <row r="71" spans="1:14" s="342" customFormat="1">
      <c r="A71" s="533"/>
      <c r="B71" s="328"/>
      <c r="C71" s="328"/>
      <c r="D71" s="328"/>
      <c r="E71" s="328"/>
      <c r="F71" s="328"/>
      <c r="G71" s="328"/>
      <c r="H71" s="328"/>
      <c r="I71" s="328"/>
    </row>
    <row r="72" spans="1:14" s="342" customFormat="1">
      <c r="A72" s="533"/>
      <c r="B72" s="328"/>
      <c r="C72" s="328"/>
      <c r="D72" s="328"/>
      <c r="E72" s="328"/>
      <c r="F72" s="328"/>
      <c r="G72" s="328"/>
      <c r="H72" s="328"/>
      <c r="I72" s="328"/>
    </row>
    <row r="73" spans="1:14" s="342" customFormat="1">
      <c r="A73" s="533"/>
      <c r="B73" s="328"/>
      <c r="C73" s="328"/>
      <c r="D73" s="328"/>
      <c r="E73" s="328"/>
      <c r="F73" s="328"/>
      <c r="G73" s="328"/>
      <c r="H73" s="328"/>
      <c r="I73" s="328"/>
    </row>
    <row r="74" spans="1:14" s="342" customFormat="1">
      <c r="A74" s="533"/>
      <c r="B74" s="328"/>
      <c r="C74" s="328"/>
      <c r="D74" s="328"/>
      <c r="E74" s="328"/>
      <c r="F74" s="328"/>
      <c r="G74" s="328"/>
      <c r="H74" s="328"/>
      <c r="I74" s="328"/>
    </row>
    <row r="75" spans="1:14" s="342" customFormat="1">
      <c r="A75" s="533"/>
      <c r="B75" s="328"/>
      <c r="C75" s="328"/>
      <c r="D75" s="328"/>
      <c r="E75" s="328"/>
      <c r="F75" s="328"/>
      <c r="G75" s="328"/>
      <c r="H75" s="328"/>
      <c r="I75" s="328"/>
    </row>
    <row r="76" spans="1:14" s="342" customFormat="1">
      <c r="A76" s="533"/>
      <c r="B76" s="328"/>
      <c r="C76" s="328"/>
      <c r="D76" s="328"/>
      <c r="E76" s="328"/>
      <c r="F76" s="328"/>
      <c r="G76" s="328"/>
      <c r="H76" s="328"/>
      <c r="I76" s="328"/>
    </row>
    <row r="77" spans="1:14" s="342" customFormat="1">
      <c r="A77" s="533"/>
      <c r="B77" s="328"/>
      <c r="C77" s="328"/>
      <c r="D77" s="328"/>
      <c r="E77" s="328"/>
      <c r="F77" s="328"/>
      <c r="G77" s="328"/>
      <c r="H77" s="328"/>
      <c r="I77" s="328"/>
    </row>
    <row r="78" spans="1:14" s="342" customFormat="1">
      <c r="A78" s="533"/>
      <c r="B78" s="328"/>
      <c r="C78" s="328"/>
      <c r="D78" s="328"/>
      <c r="E78" s="328"/>
      <c r="F78" s="328"/>
      <c r="G78" s="328"/>
      <c r="H78" s="328"/>
      <c r="I78" s="328"/>
    </row>
    <row r="79" spans="1:14" s="342" customFormat="1">
      <c r="A79" s="533"/>
      <c r="B79" s="328"/>
      <c r="C79" s="328"/>
      <c r="D79" s="328"/>
      <c r="E79" s="328"/>
      <c r="F79" s="328"/>
      <c r="G79" s="328"/>
      <c r="H79" s="328"/>
      <c r="I79" s="328"/>
    </row>
    <row r="80" spans="1:14" s="342" customFormat="1">
      <c r="A80" s="533"/>
      <c r="B80" s="328"/>
      <c r="C80" s="328"/>
      <c r="D80" s="328"/>
      <c r="E80" s="328"/>
      <c r="F80" s="328"/>
      <c r="G80" s="328"/>
      <c r="H80" s="328"/>
      <c r="I80" s="328"/>
    </row>
    <row r="81" spans="1:9" s="342" customFormat="1">
      <c r="A81" s="533"/>
      <c r="B81" s="328"/>
      <c r="C81" s="328"/>
      <c r="D81" s="328"/>
      <c r="E81" s="328"/>
      <c r="F81" s="328"/>
      <c r="G81" s="328"/>
      <c r="H81" s="328"/>
      <c r="I81" s="328"/>
    </row>
    <row r="82" spans="1:9" s="342" customFormat="1">
      <c r="A82" s="533"/>
      <c r="B82" s="328"/>
      <c r="C82" s="328"/>
      <c r="D82" s="328"/>
      <c r="E82" s="328"/>
      <c r="F82" s="328"/>
      <c r="G82" s="328"/>
      <c r="H82" s="328"/>
      <c r="I82" s="328"/>
    </row>
    <row r="83" spans="1:9" s="342" customFormat="1">
      <c r="A83" s="533"/>
      <c r="B83" s="328"/>
      <c r="C83" s="328"/>
      <c r="D83" s="328"/>
      <c r="E83" s="328"/>
      <c r="F83" s="328"/>
      <c r="G83" s="328"/>
      <c r="H83" s="328"/>
      <c r="I83" s="328"/>
    </row>
    <row r="84" spans="1:9" s="342" customFormat="1">
      <c r="A84" s="533"/>
      <c r="B84" s="328"/>
      <c r="C84" s="328"/>
      <c r="D84" s="328"/>
      <c r="E84" s="328"/>
      <c r="F84" s="328"/>
      <c r="G84" s="328"/>
      <c r="H84" s="328"/>
      <c r="I84" s="328"/>
    </row>
    <row r="85" spans="1:9" s="342" customFormat="1">
      <c r="A85" s="533"/>
      <c r="B85" s="328"/>
      <c r="C85" s="328"/>
      <c r="D85" s="328"/>
      <c r="E85" s="328"/>
      <c r="F85" s="328"/>
      <c r="G85" s="328"/>
      <c r="H85" s="328"/>
      <c r="I85" s="328"/>
    </row>
    <row r="86" spans="1:9" s="342" customFormat="1">
      <c r="A86" s="533"/>
      <c r="B86" s="328"/>
      <c r="C86" s="328"/>
      <c r="D86" s="328"/>
      <c r="E86" s="328"/>
      <c r="F86" s="328"/>
      <c r="G86" s="328"/>
      <c r="H86" s="328"/>
      <c r="I86" s="328"/>
    </row>
    <row r="87" spans="1:9" s="342" customFormat="1">
      <c r="A87" s="533"/>
      <c r="B87" s="328"/>
      <c r="C87" s="328"/>
      <c r="D87" s="328"/>
      <c r="E87" s="328"/>
      <c r="F87" s="328"/>
      <c r="G87" s="328"/>
      <c r="H87" s="328"/>
      <c r="I87" s="328"/>
    </row>
    <row r="88" spans="1:9" s="342" customFormat="1">
      <c r="A88" s="533"/>
      <c r="B88" s="328"/>
      <c r="C88" s="328"/>
      <c r="D88" s="328"/>
      <c r="E88" s="328"/>
      <c r="F88" s="328"/>
      <c r="G88" s="328"/>
      <c r="H88" s="328"/>
      <c r="I88" s="328"/>
    </row>
    <row r="89" spans="1:9" s="342" customFormat="1">
      <c r="A89" s="533"/>
      <c r="B89" s="328"/>
      <c r="C89" s="328"/>
      <c r="D89" s="328"/>
      <c r="E89" s="328"/>
      <c r="F89" s="328"/>
      <c r="G89" s="328"/>
      <c r="H89" s="328"/>
      <c r="I89" s="328"/>
    </row>
    <row r="90" spans="1:9" s="342" customFormat="1">
      <c r="A90" s="533"/>
      <c r="B90" s="328"/>
      <c r="C90" s="328"/>
      <c r="D90" s="328"/>
      <c r="E90" s="328"/>
      <c r="F90" s="328"/>
      <c r="G90" s="328"/>
      <c r="H90" s="328"/>
      <c r="I90" s="328"/>
    </row>
    <row r="91" spans="1:9" s="342" customFormat="1">
      <c r="A91" s="533"/>
      <c r="B91" s="328"/>
      <c r="C91" s="328"/>
      <c r="D91" s="328"/>
      <c r="E91" s="328"/>
      <c r="F91" s="328"/>
      <c r="G91" s="328"/>
      <c r="H91" s="328"/>
      <c r="I91" s="328"/>
    </row>
    <row r="92" spans="1:9" s="342" customFormat="1">
      <c r="A92" s="533"/>
      <c r="B92" s="328"/>
      <c r="C92" s="328"/>
      <c r="D92" s="328"/>
      <c r="E92" s="328"/>
      <c r="F92" s="328"/>
      <c r="G92" s="328"/>
      <c r="H92" s="328"/>
      <c r="I92" s="328"/>
    </row>
    <row r="93" spans="1:9" s="342" customFormat="1">
      <c r="A93" s="533"/>
      <c r="B93" s="328"/>
      <c r="C93" s="328"/>
      <c r="D93" s="328"/>
      <c r="E93" s="328"/>
      <c r="F93" s="328"/>
      <c r="G93" s="328"/>
      <c r="H93" s="328"/>
      <c r="I93" s="328"/>
    </row>
    <row r="94" spans="1:9" s="342" customFormat="1">
      <c r="A94" s="533"/>
      <c r="B94" s="328"/>
      <c r="C94" s="328"/>
      <c r="D94" s="328"/>
      <c r="E94" s="328"/>
      <c r="F94" s="328"/>
      <c r="G94" s="328"/>
      <c r="H94" s="328"/>
      <c r="I94" s="328"/>
    </row>
    <row r="95" spans="1:9" s="342" customFormat="1">
      <c r="A95" s="533"/>
      <c r="B95" s="328"/>
      <c r="C95" s="328"/>
      <c r="D95" s="328"/>
      <c r="E95" s="328"/>
      <c r="F95" s="328"/>
      <c r="G95" s="328"/>
      <c r="H95" s="328"/>
      <c r="I95" s="328"/>
    </row>
    <row r="96" spans="1:9" s="342" customFormat="1">
      <c r="A96" s="533"/>
      <c r="B96" s="328"/>
      <c r="C96" s="328"/>
      <c r="D96" s="328"/>
      <c r="E96" s="328"/>
      <c r="F96" s="328"/>
      <c r="G96" s="328"/>
      <c r="H96" s="328"/>
      <c r="I96" s="328"/>
    </row>
    <row r="97" spans="1:9" s="342" customFormat="1">
      <c r="A97" s="533"/>
      <c r="B97" s="328"/>
      <c r="C97" s="328"/>
      <c r="D97" s="328"/>
      <c r="E97" s="328"/>
      <c r="F97" s="328"/>
      <c r="G97" s="328"/>
      <c r="H97" s="328"/>
      <c r="I97" s="328"/>
    </row>
    <row r="98" spans="1:9" s="342" customFormat="1">
      <c r="A98" s="533"/>
      <c r="B98" s="328"/>
      <c r="C98" s="328"/>
      <c r="D98" s="328"/>
      <c r="E98" s="328"/>
      <c r="F98" s="328"/>
      <c r="G98" s="328"/>
      <c r="H98" s="328"/>
      <c r="I98" s="328"/>
    </row>
    <row r="99" spans="1:9" s="342" customFormat="1">
      <c r="A99" s="533"/>
      <c r="B99" s="328"/>
      <c r="C99" s="328"/>
      <c r="D99" s="328"/>
      <c r="E99" s="328"/>
      <c r="F99" s="328"/>
      <c r="G99" s="328"/>
      <c r="H99" s="328"/>
      <c r="I99" s="328"/>
    </row>
    <row r="100" spans="1:9" s="342" customFormat="1">
      <c r="A100" s="533"/>
      <c r="B100" s="328"/>
      <c r="C100" s="328"/>
      <c r="D100" s="328"/>
      <c r="E100" s="328"/>
      <c r="F100" s="328"/>
      <c r="G100" s="328"/>
      <c r="H100" s="328"/>
      <c r="I100" s="328"/>
    </row>
    <row r="101" spans="1:9" s="342" customFormat="1">
      <c r="A101" s="533"/>
      <c r="B101" s="328"/>
      <c r="C101" s="328"/>
      <c r="D101" s="328"/>
      <c r="E101" s="328"/>
      <c r="F101" s="328"/>
      <c r="G101" s="328"/>
      <c r="H101" s="328"/>
      <c r="I101" s="328"/>
    </row>
    <row r="102" spans="1:9" s="342" customFormat="1">
      <c r="A102" s="533"/>
      <c r="B102" s="328"/>
      <c r="C102" s="328"/>
      <c r="D102" s="328"/>
      <c r="E102" s="328"/>
      <c r="F102" s="328"/>
      <c r="G102" s="328"/>
      <c r="H102" s="328"/>
      <c r="I102" s="328"/>
    </row>
    <row r="103" spans="1:9" s="342" customFormat="1">
      <c r="A103" s="533"/>
      <c r="B103" s="328"/>
      <c r="C103" s="328"/>
      <c r="D103" s="328"/>
      <c r="E103" s="328"/>
      <c r="F103" s="328"/>
      <c r="G103" s="328"/>
      <c r="H103" s="328"/>
      <c r="I103" s="328"/>
    </row>
    <row r="104" spans="1:9" s="342" customFormat="1">
      <c r="A104" s="533"/>
      <c r="B104" s="328"/>
      <c r="C104" s="328"/>
      <c r="D104" s="328"/>
      <c r="E104" s="328"/>
      <c r="F104" s="328"/>
      <c r="G104" s="328"/>
      <c r="H104" s="328"/>
      <c r="I104" s="328"/>
    </row>
    <row r="105" spans="1:9" s="342" customFormat="1">
      <c r="A105" s="533"/>
      <c r="B105" s="328"/>
      <c r="C105" s="328"/>
      <c r="D105" s="328"/>
      <c r="E105" s="328"/>
      <c r="F105" s="328"/>
      <c r="G105" s="328"/>
      <c r="H105" s="328"/>
      <c r="I105" s="328"/>
    </row>
    <row r="106" spans="1:9" s="342" customFormat="1">
      <c r="A106" s="533"/>
      <c r="B106" s="328"/>
      <c r="C106" s="328"/>
      <c r="D106" s="328"/>
      <c r="E106" s="328"/>
      <c r="F106" s="328"/>
      <c r="G106" s="328"/>
      <c r="H106" s="328"/>
      <c r="I106" s="328"/>
    </row>
    <row r="107" spans="1:9" s="342" customFormat="1">
      <c r="A107" s="533"/>
      <c r="B107" s="328"/>
      <c r="C107" s="328"/>
      <c r="D107" s="328"/>
      <c r="E107" s="328"/>
      <c r="F107" s="328"/>
      <c r="G107" s="328"/>
      <c r="H107" s="328"/>
      <c r="I107" s="328"/>
    </row>
    <row r="108" spans="1:9" s="342" customFormat="1">
      <c r="A108" s="533"/>
      <c r="B108" s="328"/>
      <c r="C108" s="328"/>
      <c r="D108" s="328"/>
      <c r="E108" s="328"/>
      <c r="F108" s="328"/>
      <c r="G108" s="328"/>
      <c r="H108" s="328"/>
      <c r="I108" s="328"/>
    </row>
    <row r="109" spans="1:9" s="342" customFormat="1">
      <c r="A109" s="533"/>
      <c r="B109" s="328"/>
      <c r="C109" s="328"/>
      <c r="D109" s="328"/>
      <c r="E109" s="328"/>
      <c r="F109" s="328"/>
      <c r="G109" s="328"/>
      <c r="H109" s="328"/>
      <c r="I109" s="328"/>
    </row>
    <row r="110" spans="1:9" s="342" customFormat="1">
      <c r="A110" s="533"/>
      <c r="B110" s="328"/>
      <c r="C110" s="328"/>
      <c r="D110" s="328"/>
      <c r="E110" s="328"/>
      <c r="F110" s="328"/>
      <c r="G110" s="328"/>
      <c r="H110" s="328"/>
      <c r="I110" s="328"/>
    </row>
    <row r="111" spans="1:9" s="342" customFormat="1">
      <c r="A111" s="533"/>
      <c r="B111" s="328"/>
      <c r="C111" s="328"/>
      <c r="D111" s="328"/>
      <c r="E111" s="328"/>
      <c r="F111" s="328"/>
      <c r="G111" s="328"/>
      <c r="H111" s="328"/>
      <c r="I111" s="328"/>
    </row>
    <row r="112" spans="1:9" s="342" customFormat="1">
      <c r="A112" s="533"/>
      <c r="B112" s="328"/>
      <c r="C112" s="328"/>
      <c r="D112" s="328"/>
      <c r="E112" s="328"/>
      <c r="F112" s="328"/>
      <c r="G112" s="328"/>
      <c r="H112" s="328"/>
      <c r="I112" s="328"/>
    </row>
    <row r="113" spans="1:9" s="342" customFormat="1">
      <c r="A113" s="533"/>
      <c r="B113" s="328"/>
      <c r="C113" s="328"/>
      <c r="D113" s="328"/>
      <c r="E113" s="328"/>
      <c r="F113" s="328"/>
      <c r="G113" s="328"/>
      <c r="H113" s="328"/>
      <c r="I113" s="328"/>
    </row>
    <row r="114" spans="1:9" s="342" customFormat="1">
      <c r="A114" s="533"/>
      <c r="B114" s="328"/>
      <c r="C114" s="328"/>
      <c r="D114" s="328"/>
      <c r="E114" s="328"/>
      <c r="F114" s="328"/>
      <c r="G114" s="328"/>
      <c r="H114" s="328"/>
      <c r="I114" s="328"/>
    </row>
    <row r="115" spans="1:9" s="342" customFormat="1">
      <c r="A115" s="533"/>
      <c r="B115" s="328"/>
      <c r="C115" s="328"/>
      <c r="D115" s="328"/>
      <c r="E115" s="328"/>
      <c r="F115" s="328"/>
      <c r="G115" s="731"/>
      <c r="H115" s="328"/>
      <c r="I115" s="328"/>
    </row>
    <row r="116" spans="1:9" s="342" customFormat="1">
      <c r="A116" s="533"/>
      <c r="B116" s="328"/>
      <c r="C116" s="328"/>
      <c r="D116" s="328"/>
      <c r="E116" s="328"/>
      <c r="F116" s="328"/>
      <c r="G116" s="731"/>
      <c r="H116" s="328"/>
      <c r="I116" s="328"/>
    </row>
    <row r="117" spans="1:9" s="342" customFormat="1">
      <c r="A117" s="533"/>
      <c r="B117" s="328"/>
      <c r="C117" s="328"/>
      <c r="D117" s="328"/>
      <c r="E117" s="328"/>
      <c r="F117" s="328"/>
      <c r="G117" s="731"/>
      <c r="H117" s="328"/>
      <c r="I117" s="328"/>
    </row>
    <row r="118" spans="1:9" s="342" customFormat="1">
      <c r="A118" s="533"/>
      <c r="B118" s="328"/>
      <c r="C118" s="328"/>
      <c r="D118" s="328"/>
      <c r="E118" s="328"/>
      <c r="F118" s="328"/>
      <c r="G118" s="731"/>
      <c r="H118" s="328"/>
      <c r="I118" s="328"/>
    </row>
    <row r="119" spans="1:9" s="342" customFormat="1">
      <c r="A119" s="533"/>
      <c r="B119" s="328"/>
      <c r="C119" s="328"/>
      <c r="D119" s="328"/>
      <c r="E119" s="328"/>
      <c r="F119" s="328"/>
      <c r="G119" s="731"/>
      <c r="H119" s="328"/>
      <c r="I119" s="328"/>
    </row>
    <row r="120" spans="1:9" s="342" customFormat="1">
      <c r="A120" s="533"/>
      <c r="B120" s="328"/>
      <c r="C120" s="328"/>
      <c r="D120" s="328"/>
      <c r="E120" s="328"/>
      <c r="F120" s="328"/>
      <c r="G120" s="731"/>
      <c r="H120" s="328"/>
      <c r="I120" s="328"/>
    </row>
  </sheetData>
  <sheetProtection algorithmName="SHA-512" hashValue="HwrjJdgU61Cvip3hWv7trdA7Hb7sX/m86LOIYX7pPK3rQ7X7xtV/SuuJUecxbtRSh4GWEVY4qd1b8HTQNr2eLg==" saltValue="0siSnHz78Xje5LkCNzkgkA==" spinCount="100000" sheet="1" formatCells="0" formatColumns="0" formatRows="0" insertColumns="0" insertRows="0" insertHyperlinks="0" deleteColumns="0" deleteRows="0" sort="0" autoFilter="0" pivotTables="0"/>
  <mergeCells count="5">
    <mergeCell ref="A2:G2"/>
    <mergeCell ref="A20:G20"/>
    <mergeCell ref="A36:G36"/>
    <mergeCell ref="A54:G54"/>
    <mergeCell ref="J1:K1"/>
  </mergeCells>
  <hyperlinks>
    <hyperlink ref="I1" location="ГЛАВНАЯ!A1" display="На главную" xr:uid="{00000000-0004-0000-1600-00000000000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34"/>
  <dimension ref="A1:J179"/>
  <sheetViews>
    <sheetView workbookViewId="0">
      <pane ySplit="1" topLeftCell="A2" activePane="bottomLeft" state="frozen"/>
      <selection pane="bottomLeft" activeCell="G1" sqref="G1"/>
    </sheetView>
  </sheetViews>
  <sheetFormatPr defaultRowHeight="14.3"/>
  <cols>
    <col min="1" max="1" width="69.25" style="371" customWidth="1"/>
    <col min="2" max="2" width="10.375" customWidth="1"/>
    <col min="3" max="3" width="8.375" bestFit="1" customWidth="1"/>
    <col min="4" max="4" width="21.375" style="347" customWidth="1"/>
    <col min="5" max="5" width="16.125" style="662" customWidth="1"/>
    <col min="6" max="6" width="9.75" hidden="1" customWidth="1"/>
    <col min="7" max="7" width="19" customWidth="1"/>
    <col min="9" max="9" width="23.375" customWidth="1"/>
  </cols>
  <sheetData>
    <row r="1" spans="1:9" ht="54" customHeight="1" thickBot="1">
      <c r="A1" s="376" t="s">
        <v>2</v>
      </c>
      <c r="B1" s="377" t="s">
        <v>2330</v>
      </c>
      <c r="C1" s="377" t="s">
        <v>766</v>
      </c>
      <c r="D1" s="349" t="s">
        <v>2776</v>
      </c>
      <c r="E1" s="716" t="s">
        <v>3372</v>
      </c>
      <c r="G1" s="329" t="s">
        <v>2304</v>
      </c>
      <c r="H1" s="921" t="s">
        <v>3595</v>
      </c>
      <c r="I1" s="922"/>
    </row>
    <row r="2" spans="1:9" ht="105.8" customHeight="1">
      <c r="A2" s="368" t="s">
        <v>2777</v>
      </c>
      <c r="B2" s="345">
        <v>5</v>
      </c>
      <c r="C2" s="345" t="s">
        <v>2347</v>
      </c>
      <c r="D2" s="313">
        <v>1071.2533000000001</v>
      </c>
      <c r="E2" s="728">
        <v>1071.2533000000001</v>
      </c>
      <c r="G2" s="770"/>
      <c r="H2" s="770"/>
      <c r="I2" s="15"/>
    </row>
    <row r="3" spans="1:9" ht="76.599999999999994" customHeight="1">
      <c r="A3" s="368" t="s">
        <v>2778</v>
      </c>
      <c r="B3" s="345">
        <v>5</v>
      </c>
      <c r="C3" s="345" t="s">
        <v>2347</v>
      </c>
      <c r="D3" s="313">
        <v>920.33240000000012</v>
      </c>
      <c r="E3" s="728">
        <v>920.33240000000012</v>
      </c>
      <c r="G3" s="770"/>
      <c r="H3" s="770"/>
      <c r="I3" s="15"/>
    </row>
    <row r="4" spans="1:9" ht="104.95" customHeight="1">
      <c r="A4" s="368" t="s">
        <v>2779</v>
      </c>
      <c r="B4" s="345">
        <v>5</v>
      </c>
      <c r="C4" s="345" t="s">
        <v>2347</v>
      </c>
      <c r="D4" s="313">
        <v>1655.3783999999998</v>
      </c>
      <c r="E4" s="728">
        <v>1655.3783999999998</v>
      </c>
      <c r="G4" s="770"/>
      <c r="H4" s="770"/>
      <c r="I4" s="15"/>
    </row>
    <row r="5" spans="1:9" ht="79.5" customHeight="1">
      <c r="A5" s="368" t="s">
        <v>2819</v>
      </c>
      <c r="B5" s="345">
        <v>4</v>
      </c>
      <c r="C5" s="345" t="s">
        <v>2347</v>
      </c>
      <c r="D5" s="313">
        <v>64.819299999999998</v>
      </c>
      <c r="E5" s="728">
        <v>89.571299999999994</v>
      </c>
      <c r="G5" s="770"/>
      <c r="H5" s="770"/>
      <c r="I5" s="15"/>
    </row>
    <row r="6" spans="1:9" ht="81.7" customHeight="1">
      <c r="A6" s="368" t="s">
        <v>2820</v>
      </c>
      <c r="B6" s="345">
        <v>5</v>
      </c>
      <c r="C6" s="345" t="s">
        <v>2347</v>
      </c>
      <c r="D6" s="313">
        <v>139.4</v>
      </c>
      <c r="E6" s="728">
        <v>139.4</v>
      </c>
      <c r="G6" s="770"/>
      <c r="H6" s="770"/>
      <c r="I6" s="15"/>
    </row>
    <row r="7" spans="1:9" ht="87.8" customHeight="1">
      <c r="A7" s="368" t="s">
        <v>2821</v>
      </c>
      <c r="B7" s="345">
        <v>5</v>
      </c>
      <c r="C7" s="345" t="s">
        <v>2347</v>
      </c>
      <c r="D7" s="313">
        <v>159.25260000000003</v>
      </c>
      <c r="E7" s="728">
        <v>159.25260000000003</v>
      </c>
      <c r="G7" s="770"/>
      <c r="H7" s="770"/>
      <c r="I7" s="15"/>
    </row>
    <row r="8" spans="1:9" ht="84.1" customHeight="1">
      <c r="A8" s="368" t="s">
        <v>2822</v>
      </c>
      <c r="B8" s="345">
        <v>5</v>
      </c>
      <c r="C8" s="345" t="s">
        <v>2347</v>
      </c>
      <c r="D8" s="313">
        <v>220.6464</v>
      </c>
      <c r="E8" s="728">
        <v>220.6464</v>
      </c>
      <c r="G8" s="770"/>
      <c r="H8" s="770"/>
      <c r="I8" s="15"/>
    </row>
    <row r="9" spans="1:9" ht="94.6" customHeight="1">
      <c r="A9" s="368" t="s">
        <v>2823</v>
      </c>
      <c r="B9" s="345">
        <v>5</v>
      </c>
      <c r="C9" s="345" t="s">
        <v>2347</v>
      </c>
      <c r="D9" s="313">
        <v>275.87430000000001</v>
      </c>
      <c r="E9" s="728">
        <v>275.87430000000001</v>
      </c>
      <c r="G9" s="770"/>
      <c r="H9" s="770"/>
      <c r="I9" s="15"/>
    </row>
    <row r="10" spans="1:9" ht="116.35" customHeight="1">
      <c r="A10" s="368" t="s">
        <v>2780</v>
      </c>
      <c r="B10" s="345">
        <v>5</v>
      </c>
      <c r="C10" s="345" t="s">
        <v>2347</v>
      </c>
      <c r="D10" s="313">
        <v>137.08630000000002</v>
      </c>
      <c r="E10" s="728">
        <v>137.08630000000002</v>
      </c>
      <c r="G10" s="770"/>
      <c r="H10" s="770"/>
      <c r="I10" s="15"/>
    </row>
    <row r="11" spans="1:9" ht="120.1" customHeight="1">
      <c r="A11" s="368" t="s">
        <v>2781</v>
      </c>
      <c r="B11" s="345">
        <v>5</v>
      </c>
      <c r="C11" s="345" t="s">
        <v>2347</v>
      </c>
      <c r="D11" s="313">
        <v>189.79479999999998</v>
      </c>
      <c r="E11" s="728">
        <v>189.79479999999998</v>
      </c>
      <c r="G11" s="770"/>
      <c r="H11" s="770"/>
      <c r="I11" s="15"/>
    </row>
    <row r="12" spans="1:9" ht="116.35" customHeight="1">
      <c r="A12" s="368" t="s">
        <v>2782</v>
      </c>
      <c r="B12" s="345">
        <v>5</v>
      </c>
      <c r="C12" s="345" t="s">
        <v>2347</v>
      </c>
      <c r="D12" s="313">
        <v>243.12209999999999</v>
      </c>
      <c r="E12" s="728">
        <v>243.12209999999999</v>
      </c>
      <c r="G12" s="770"/>
      <c r="H12" s="770"/>
      <c r="I12" s="15"/>
    </row>
    <row r="13" spans="1:9" ht="115.5" customHeight="1">
      <c r="A13" s="368" t="s">
        <v>2783</v>
      </c>
      <c r="B13" s="345">
        <v>5</v>
      </c>
      <c r="C13" s="345" t="s">
        <v>2347</v>
      </c>
      <c r="D13" s="313">
        <v>243.12209999999999</v>
      </c>
      <c r="E13" s="728">
        <v>243.12209999999999</v>
      </c>
      <c r="G13" s="770"/>
      <c r="H13" s="770"/>
      <c r="I13" s="15"/>
    </row>
    <row r="14" spans="1:9" ht="111.75" customHeight="1">
      <c r="A14" s="368" t="s">
        <v>2784</v>
      </c>
      <c r="B14" s="345">
        <v>5</v>
      </c>
      <c r="C14" s="345" t="s">
        <v>2347</v>
      </c>
      <c r="D14" s="313">
        <v>243.12209999999999</v>
      </c>
      <c r="E14" s="728">
        <v>243.12209999999999</v>
      </c>
      <c r="G14" s="770"/>
      <c r="H14" s="770"/>
      <c r="I14" s="15"/>
    </row>
    <row r="15" spans="1:9" ht="108.7" customHeight="1">
      <c r="A15" s="368" t="s">
        <v>2785</v>
      </c>
      <c r="B15" s="345">
        <v>4</v>
      </c>
      <c r="C15" s="345" t="s">
        <v>2347</v>
      </c>
      <c r="D15" s="313">
        <v>217.39770000000001</v>
      </c>
      <c r="E15" s="728">
        <v>217.39770000000001</v>
      </c>
      <c r="G15" s="770"/>
      <c r="H15" s="770"/>
      <c r="I15" s="15"/>
    </row>
    <row r="16" spans="1:9" ht="119.25" customHeight="1">
      <c r="A16" s="368" t="s">
        <v>2786</v>
      </c>
      <c r="B16" s="345">
        <v>5</v>
      </c>
      <c r="C16" s="345" t="s">
        <v>2347</v>
      </c>
      <c r="D16" s="313">
        <v>221.30940000000001</v>
      </c>
      <c r="E16" s="728">
        <v>221.30940000000001</v>
      </c>
      <c r="G16" s="770"/>
      <c r="H16" s="770"/>
      <c r="I16" s="15"/>
    </row>
    <row r="17" spans="1:9" ht="108.7" customHeight="1">
      <c r="A17" s="368" t="s">
        <v>2787</v>
      </c>
      <c r="B17" s="345">
        <v>8</v>
      </c>
      <c r="C17" s="345" t="s">
        <v>2347</v>
      </c>
      <c r="D17" s="313">
        <v>459.34849999999994</v>
      </c>
      <c r="E17" s="728">
        <v>459.34849999999994</v>
      </c>
      <c r="G17" s="770"/>
      <c r="H17" s="770"/>
      <c r="I17" s="15"/>
    </row>
    <row r="18" spans="1:9" ht="109.55" customHeight="1">
      <c r="A18" s="368" t="s">
        <v>2788</v>
      </c>
      <c r="B18" s="345">
        <v>5</v>
      </c>
      <c r="C18" s="345" t="s">
        <v>2347</v>
      </c>
      <c r="D18" s="313">
        <v>292.64819999999997</v>
      </c>
      <c r="E18" s="728">
        <v>292.64819999999997</v>
      </c>
      <c r="G18" s="770"/>
      <c r="H18" s="770"/>
      <c r="I18" s="15"/>
    </row>
    <row r="19" spans="1:9" ht="113.3" customHeight="1">
      <c r="A19" s="368" t="s">
        <v>2789</v>
      </c>
      <c r="B19" s="345">
        <v>5</v>
      </c>
      <c r="C19" s="345" t="s">
        <v>2347</v>
      </c>
      <c r="D19" s="313">
        <v>341.22400000000005</v>
      </c>
      <c r="E19" s="728">
        <v>341.22400000000005</v>
      </c>
      <c r="G19" s="770"/>
      <c r="H19" s="770"/>
      <c r="I19" s="15"/>
    </row>
    <row r="20" spans="1:9" ht="101.25" customHeight="1">
      <c r="A20" s="368" t="s">
        <v>2790</v>
      </c>
      <c r="B20" s="345">
        <v>5</v>
      </c>
      <c r="C20" s="345" t="s">
        <v>2347</v>
      </c>
      <c r="D20" s="313">
        <v>471.30459999999999</v>
      </c>
      <c r="E20" s="728">
        <v>471.30459999999999</v>
      </c>
      <c r="G20" s="770"/>
      <c r="H20" s="770"/>
      <c r="I20" s="15"/>
    </row>
    <row r="21" spans="1:9" ht="49.6" customHeight="1">
      <c r="A21" s="368" t="s">
        <v>2791</v>
      </c>
      <c r="B21" s="345">
        <v>4</v>
      </c>
      <c r="C21" s="345" t="s">
        <v>2347</v>
      </c>
      <c r="D21" s="313">
        <v>192.04900000000001</v>
      </c>
      <c r="E21" s="728">
        <v>192.04900000000001</v>
      </c>
      <c r="G21" s="770"/>
      <c r="H21" s="770"/>
      <c r="I21" s="15"/>
    </row>
    <row r="22" spans="1:9" ht="49.6" customHeight="1">
      <c r="A22" s="368" t="s">
        <v>2792</v>
      </c>
      <c r="B22" s="345">
        <v>4</v>
      </c>
      <c r="C22" s="345" t="s">
        <v>2347</v>
      </c>
      <c r="D22" s="313">
        <v>221.30940000000001</v>
      </c>
      <c r="E22" s="728">
        <v>221.30940000000001</v>
      </c>
      <c r="G22" s="770"/>
      <c r="H22" s="770"/>
      <c r="I22" s="15"/>
    </row>
    <row r="23" spans="1:9" ht="95.95" customHeight="1">
      <c r="A23" s="368" t="s">
        <v>2793</v>
      </c>
      <c r="B23" s="345">
        <v>4</v>
      </c>
      <c r="C23" s="345" t="s">
        <v>2347</v>
      </c>
      <c r="D23" s="313">
        <v>264.62540000000001</v>
      </c>
      <c r="E23" s="728">
        <v>264.62540000000001</v>
      </c>
      <c r="G23" s="770"/>
      <c r="H23" s="770"/>
      <c r="I23" s="15"/>
    </row>
    <row r="24" spans="1:9" ht="97.5" customHeight="1">
      <c r="A24" s="368" t="s">
        <v>2794</v>
      </c>
      <c r="B24" s="345">
        <v>5</v>
      </c>
      <c r="C24" s="345" t="s">
        <v>2347</v>
      </c>
      <c r="D24" s="313">
        <v>265.1558</v>
      </c>
      <c r="E24" s="728">
        <v>265.1558</v>
      </c>
      <c r="G24" s="770"/>
      <c r="H24" s="770"/>
      <c r="I24" s="15"/>
    </row>
    <row r="25" spans="1:9" ht="94.6" customHeight="1">
      <c r="A25" s="368" t="s">
        <v>2795</v>
      </c>
      <c r="B25" s="345">
        <v>5</v>
      </c>
      <c r="C25" s="345" t="s">
        <v>2347</v>
      </c>
      <c r="D25" s="313">
        <v>357.37909999999999</v>
      </c>
      <c r="E25" s="728">
        <v>357.37909999999999</v>
      </c>
      <c r="G25" s="770"/>
      <c r="H25" s="770"/>
      <c r="I25" s="15"/>
    </row>
    <row r="26" spans="1:9" ht="100.55" customHeight="1">
      <c r="A26" s="368" t="s">
        <v>2796</v>
      </c>
      <c r="B26" s="345">
        <v>5</v>
      </c>
      <c r="C26" s="345" t="s">
        <v>2347</v>
      </c>
      <c r="D26" s="313">
        <v>390.065</v>
      </c>
      <c r="E26" s="728">
        <v>390.065</v>
      </c>
      <c r="G26" s="770"/>
      <c r="H26" s="770"/>
      <c r="I26" s="15"/>
    </row>
    <row r="27" spans="1:9" ht="93.1" customHeight="1">
      <c r="A27" s="368" t="s">
        <v>2797</v>
      </c>
      <c r="B27" s="345">
        <v>5</v>
      </c>
      <c r="C27" s="345" t="s">
        <v>2347</v>
      </c>
      <c r="D27" s="313">
        <v>582.13610000000006</v>
      </c>
      <c r="E27" s="728">
        <v>582.13610000000006</v>
      </c>
      <c r="G27" s="770"/>
      <c r="H27" s="770"/>
      <c r="I27" s="15"/>
    </row>
    <row r="28" spans="1:9" ht="149.94999999999999" customHeight="1">
      <c r="A28" s="368" t="s">
        <v>2798</v>
      </c>
      <c r="B28" s="345">
        <v>6</v>
      </c>
      <c r="C28" s="345" t="s">
        <v>2347</v>
      </c>
      <c r="D28" s="313">
        <v>541.80360000000007</v>
      </c>
      <c r="E28" s="728">
        <v>541.80360000000007</v>
      </c>
      <c r="G28" s="770"/>
      <c r="H28" s="770"/>
      <c r="I28" s="15"/>
    </row>
    <row r="29" spans="1:9" ht="129.1" customHeight="1">
      <c r="A29" s="368" t="s">
        <v>2799</v>
      </c>
      <c r="B29" s="345">
        <v>2</v>
      </c>
      <c r="C29" s="345" t="s">
        <v>2347</v>
      </c>
      <c r="D29" s="313">
        <v>144.35719999999998</v>
      </c>
      <c r="E29" s="728">
        <v>230.96709999999999</v>
      </c>
      <c r="G29" s="770"/>
      <c r="H29" s="770"/>
      <c r="I29" s="15"/>
    </row>
    <row r="30" spans="1:9" ht="120.75" customHeight="1">
      <c r="A30" s="368" t="s">
        <v>2800</v>
      </c>
      <c r="B30" s="345">
        <v>2</v>
      </c>
      <c r="C30" s="345" t="s">
        <v>2347</v>
      </c>
      <c r="D30" s="313">
        <v>215.54130000000001</v>
      </c>
      <c r="E30" s="728">
        <v>344.87049999999999</v>
      </c>
      <c r="G30" s="770"/>
      <c r="H30" s="770"/>
      <c r="I30" s="15"/>
    </row>
    <row r="31" spans="1:9" ht="131.94999999999999" customHeight="1">
      <c r="A31" s="368" t="s">
        <v>2801</v>
      </c>
      <c r="B31" s="345">
        <v>4</v>
      </c>
      <c r="C31" s="345" t="s">
        <v>2347</v>
      </c>
      <c r="D31" s="313">
        <v>432.18760000000003</v>
      </c>
      <c r="E31" s="728">
        <v>605.09800000000007</v>
      </c>
      <c r="G31" s="770"/>
      <c r="H31" s="770"/>
      <c r="I31" s="15"/>
    </row>
    <row r="32" spans="1:9" ht="144" customHeight="1">
      <c r="A32" s="368" t="s">
        <v>2802</v>
      </c>
      <c r="B32" s="345">
        <v>4</v>
      </c>
      <c r="C32" s="345" t="s">
        <v>2347</v>
      </c>
      <c r="D32" s="313">
        <v>562.53339999999992</v>
      </c>
      <c r="E32" s="728">
        <v>787.53350000000012</v>
      </c>
      <c r="G32" s="770"/>
      <c r="H32" s="770"/>
      <c r="I32" s="15"/>
    </row>
    <row r="33" spans="1:10" ht="52.5" customHeight="1">
      <c r="A33" s="368" t="s">
        <v>2803</v>
      </c>
      <c r="B33" s="345">
        <v>6</v>
      </c>
      <c r="C33" s="345" t="s">
        <v>2347</v>
      </c>
      <c r="D33" s="313">
        <v>27.602900000000002</v>
      </c>
      <c r="E33" s="728">
        <v>44.177899999999994</v>
      </c>
      <c r="G33" s="770"/>
      <c r="H33" s="770"/>
      <c r="I33" s="15"/>
      <c r="J33" s="15"/>
    </row>
    <row r="34" spans="1:10" ht="46.55" customHeight="1">
      <c r="A34" s="368" t="s">
        <v>2804</v>
      </c>
      <c r="B34" s="345">
        <v>6</v>
      </c>
      <c r="C34" s="345" t="s">
        <v>2347</v>
      </c>
      <c r="D34" s="313">
        <v>29.591899999999999</v>
      </c>
      <c r="E34" s="728">
        <v>47.316099999999999</v>
      </c>
      <c r="G34" s="770"/>
      <c r="H34" s="770"/>
      <c r="I34" s="15"/>
      <c r="J34" s="15"/>
    </row>
    <row r="35" spans="1:10" ht="39.75" customHeight="1">
      <c r="A35" s="368" t="s">
        <v>2805</v>
      </c>
      <c r="B35" s="345">
        <v>8</v>
      </c>
      <c r="C35" s="345" t="s">
        <v>2347</v>
      </c>
      <c r="D35" s="313">
        <v>31.558799999999998</v>
      </c>
      <c r="E35" s="728">
        <v>50.476399999999998</v>
      </c>
      <c r="G35" s="770"/>
      <c r="H35" s="770"/>
      <c r="I35" s="15"/>
      <c r="J35" s="15"/>
    </row>
    <row r="36" spans="1:10" ht="41.3" customHeight="1" thickBot="1">
      <c r="A36" s="369" t="s">
        <v>2806</v>
      </c>
      <c r="B36" s="348">
        <v>10</v>
      </c>
      <c r="C36" s="348" t="s">
        <v>2347</v>
      </c>
      <c r="D36" s="315">
        <v>33.525700000000001</v>
      </c>
      <c r="E36" s="729">
        <v>53.636700000000005</v>
      </c>
      <c r="G36" s="770"/>
      <c r="H36" s="770"/>
      <c r="I36" s="15"/>
      <c r="J36" s="15"/>
    </row>
    <row r="37" spans="1:10" s="342" customFormat="1">
      <c r="A37" s="370"/>
      <c r="G37" s="15"/>
      <c r="H37" s="15"/>
      <c r="I37" s="15"/>
      <c r="J37" s="15"/>
    </row>
    <row r="38" spans="1:10" s="342" customFormat="1">
      <c r="A38" s="370"/>
    </row>
    <row r="39" spans="1:10" s="342" customFormat="1">
      <c r="A39" s="370"/>
    </row>
    <row r="40" spans="1:10" s="342" customFormat="1">
      <c r="A40" s="370"/>
    </row>
    <row r="41" spans="1:10" s="342" customFormat="1">
      <c r="A41" s="370"/>
    </row>
    <row r="42" spans="1:10" s="342" customFormat="1">
      <c r="A42" s="370"/>
    </row>
    <row r="43" spans="1:10" s="342" customFormat="1">
      <c r="A43" s="370"/>
    </row>
    <row r="44" spans="1:10" s="342" customFormat="1">
      <c r="A44" s="370"/>
    </row>
    <row r="45" spans="1:10" s="342" customFormat="1">
      <c r="A45" s="370"/>
    </row>
    <row r="46" spans="1:10" s="342" customFormat="1">
      <c r="A46" s="370"/>
    </row>
    <row r="47" spans="1:10" s="342" customFormat="1">
      <c r="A47" s="370"/>
    </row>
    <row r="48" spans="1:10" s="342" customFormat="1">
      <c r="A48" s="370"/>
    </row>
    <row r="49" spans="1:1" s="342" customFormat="1">
      <c r="A49" s="370"/>
    </row>
    <row r="50" spans="1:1" s="342" customFormat="1">
      <c r="A50" s="370"/>
    </row>
    <row r="51" spans="1:1" s="342" customFormat="1">
      <c r="A51" s="370"/>
    </row>
    <row r="52" spans="1:1" s="342" customFormat="1">
      <c r="A52" s="370"/>
    </row>
    <row r="53" spans="1:1" s="342" customFormat="1">
      <c r="A53" s="370"/>
    </row>
    <row r="54" spans="1:1" s="342" customFormat="1">
      <c r="A54" s="370"/>
    </row>
    <row r="55" spans="1:1" s="342" customFormat="1">
      <c r="A55" s="370"/>
    </row>
    <row r="56" spans="1:1" s="342" customFormat="1">
      <c r="A56" s="370"/>
    </row>
    <row r="57" spans="1:1" s="342" customFormat="1">
      <c r="A57" s="370"/>
    </row>
    <row r="58" spans="1:1" s="342" customFormat="1">
      <c r="A58" s="370"/>
    </row>
    <row r="59" spans="1:1" s="342" customFormat="1">
      <c r="A59" s="370"/>
    </row>
    <row r="60" spans="1:1" s="342" customFormat="1">
      <c r="A60" s="370"/>
    </row>
    <row r="61" spans="1:1" s="342" customFormat="1">
      <c r="A61" s="370"/>
    </row>
    <row r="62" spans="1:1" s="342" customFormat="1">
      <c r="A62" s="370"/>
    </row>
    <row r="63" spans="1:1" s="342" customFormat="1">
      <c r="A63" s="370"/>
    </row>
    <row r="64" spans="1:1" s="342" customFormat="1">
      <c r="A64" s="370"/>
    </row>
    <row r="65" spans="1:1" s="342" customFormat="1">
      <c r="A65" s="370"/>
    </row>
    <row r="66" spans="1:1" s="342" customFormat="1">
      <c r="A66" s="370"/>
    </row>
    <row r="67" spans="1:1" s="342" customFormat="1">
      <c r="A67" s="370"/>
    </row>
    <row r="68" spans="1:1" s="342" customFormat="1">
      <c r="A68" s="370"/>
    </row>
    <row r="69" spans="1:1" s="342" customFormat="1">
      <c r="A69" s="370"/>
    </row>
    <row r="70" spans="1:1" s="342" customFormat="1">
      <c r="A70" s="370"/>
    </row>
    <row r="71" spans="1:1" s="342" customFormat="1">
      <c r="A71" s="370"/>
    </row>
    <row r="72" spans="1:1" s="342" customFormat="1">
      <c r="A72" s="370"/>
    </row>
    <row r="73" spans="1:1" s="342" customFormat="1">
      <c r="A73" s="370"/>
    </row>
    <row r="74" spans="1:1" s="342" customFormat="1">
      <c r="A74" s="370"/>
    </row>
    <row r="75" spans="1:1" s="342" customFormat="1">
      <c r="A75" s="370"/>
    </row>
    <row r="76" spans="1:1" s="342" customFormat="1">
      <c r="A76" s="370"/>
    </row>
    <row r="77" spans="1:1" s="342" customFormat="1">
      <c r="A77" s="370"/>
    </row>
    <row r="78" spans="1:1" s="342" customFormat="1">
      <c r="A78" s="370"/>
    </row>
    <row r="79" spans="1:1" s="342" customFormat="1">
      <c r="A79" s="370"/>
    </row>
    <row r="80" spans="1:1" s="342" customFormat="1">
      <c r="A80" s="370"/>
    </row>
    <row r="81" spans="1:1" s="342" customFormat="1">
      <c r="A81" s="370"/>
    </row>
    <row r="82" spans="1:1" s="342" customFormat="1">
      <c r="A82" s="370"/>
    </row>
    <row r="83" spans="1:1" s="342" customFormat="1">
      <c r="A83" s="370"/>
    </row>
    <row r="84" spans="1:1" s="342" customFormat="1">
      <c r="A84" s="370"/>
    </row>
    <row r="85" spans="1:1" s="342" customFormat="1">
      <c r="A85" s="370"/>
    </row>
    <row r="86" spans="1:1" s="342" customFormat="1">
      <c r="A86" s="370"/>
    </row>
    <row r="87" spans="1:1" s="342" customFormat="1">
      <c r="A87" s="370"/>
    </row>
    <row r="88" spans="1:1" s="342" customFormat="1">
      <c r="A88" s="370"/>
    </row>
    <row r="89" spans="1:1" s="342" customFormat="1">
      <c r="A89" s="370"/>
    </row>
    <row r="90" spans="1:1" s="342" customFormat="1">
      <c r="A90" s="370"/>
    </row>
    <row r="91" spans="1:1" s="342" customFormat="1">
      <c r="A91" s="370"/>
    </row>
    <row r="92" spans="1:1" s="342" customFormat="1">
      <c r="A92" s="370"/>
    </row>
    <row r="93" spans="1:1" s="342" customFormat="1">
      <c r="A93" s="370"/>
    </row>
    <row r="94" spans="1:1" s="342" customFormat="1">
      <c r="A94" s="370"/>
    </row>
    <row r="95" spans="1:1" s="342" customFormat="1">
      <c r="A95" s="370"/>
    </row>
    <row r="96" spans="1:1" s="342" customFormat="1">
      <c r="A96" s="370"/>
    </row>
    <row r="97" spans="1:1" s="342" customFormat="1">
      <c r="A97" s="370"/>
    </row>
    <row r="98" spans="1:1" s="342" customFormat="1">
      <c r="A98" s="370"/>
    </row>
    <row r="99" spans="1:1" s="342" customFormat="1">
      <c r="A99" s="370"/>
    </row>
    <row r="100" spans="1:1" s="342" customFormat="1">
      <c r="A100" s="370"/>
    </row>
    <row r="101" spans="1:1" s="342" customFormat="1">
      <c r="A101" s="370"/>
    </row>
    <row r="102" spans="1:1" s="342" customFormat="1">
      <c r="A102" s="370"/>
    </row>
    <row r="103" spans="1:1" s="342" customFormat="1">
      <c r="A103" s="370"/>
    </row>
    <row r="104" spans="1:1" s="342" customFormat="1">
      <c r="A104" s="370"/>
    </row>
    <row r="105" spans="1:1" s="342" customFormat="1">
      <c r="A105" s="370"/>
    </row>
    <row r="106" spans="1:1" s="342" customFormat="1">
      <c r="A106" s="370"/>
    </row>
    <row r="107" spans="1:1" s="342" customFormat="1">
      <c r="A107" s="370"/>
    </row>
    <row r="108" spans="1:1" s="342" customFormat="1">
      <c r="A108" s="370"/>
    </row>
    <row r="109" spans="1:1" s="342" customFormat="1">
      <c r="A109" s="370"/>
    </row>
    <row r="110" spans="1:1" s="342" customFormat="1">
      <c r="A110" s="370"/>
    </row>
    <row r="111" spans="1:1" s="342" customFormat="1">
      <c r="A111" s="370"/>
    </row>
    <row r="112" spans="1:1" s="342" customFormat="1">
      <c r="A112" s="370"/>
    </row>
    <row r="113" spans="1:1" s="342" customFormat="1">
      <c r="A113" s="370"/>
    </row>
    <row r="114" spans="1:1" s="342" customFormat="1">
      <c r="A114" s="370"/>
    </row>
    <row r="115" spans="1:1" s="342" customFormat="1">
      <c r="A115" s="370"/>
    </row>
    <row r="116" spans="1:1" s="342" customFormat="1">
      <c r="A116" s="370"/>
    </row>
    <row r="117" spans="1:1" s="342" customFormat="1">
      <c r="A117" s="370"/>
    </row>
    <row r="118" spans="1:1" s="342" customFormat="1">
      <c r="A118" s="370"/>
    </row>
    <row r="119" spans="1:1" s="342" customFormat="1">
      <c r="A119" s="370"/>
    </row>
    <row r="120" spans="1:1" s="342" customFormat="1">
      <c r="A120" s="370"/>
    </row>
    <row r="121" spans="1:1" s="342" customFormat="1">
      <c r="A121" s="370"/>
    </row>
    <row r="122" spans="1:1" s="342" customFormat="1">
      <c r="A122" s="370"/>
    </row>
    <row r="123" spans="1:1" s="342" customFormat="1">
      <c r="A123" s="370"/>
    </row>
    <row r="124" spans="1:1" s="342" customFormat="1">
      <c r="A124" s="370"/>
    </row>
    <row r="125" spans="1:1" s="342" customFormat="1">
      <c r="A125" s="370"/>
    </row>
    <row r="126" spans="1:1" s="342" customFormat="1">
      <c r="A126" s="370"/>
    </row>
    <row r="127" spans="1:1" s="342" customFormat="1">
      <c r="A127" s="370"/>
    </row>
    <row r="128" spans="1:1" s="342" customFormat="1">
      <c r="A128" s="370"/>
    </row>
    <row r="129" spans="1:5" s="342" customFormat="1">
      <c r="A129" s="370"/>
      <c r="E129" s="662"/>
    </row>
    <row r="130" spans="1:5" s="342" customFormat="1">
      <c r="A130" s="370"/>
      <c r="E130" s="662"/>
    </row>
    <row r="131" spans="1:5" s="342" customFormat="1">
      <c r="A131" s="370"/>
      <c r="E131" s="662"/>
    </row>
    <row r="132" spans="1:5" s="342" customFormat="1">
      <c r="A132" s="370"/>
      <c r="E132" s="662"/>
    </row>
    <row r="133" spans="1:5" s="342" customFormat="1">
      <c r="A133" s="370"/>
      <c r="E133" s="662"/>
    </row>
    <row r="134" spans="1:5" s="342" customFormat="1">
      <c r="A134" s="370"/>
      <c r="E134" s="662"/>
    </row>
    <row r="135" spans="1:5" s="342" customFormat="1">
      <c r="A135" s="370"/>
      <c r="E135" s="662"/>
    </row>
    <row r="136" spans="1:5" s="342" customFormat="1">
      <c r="A136" s="370"/>
      <c r="E136" s="662"/>
    </row>
    <row r="137" spans="1:5" s="342" customFormat="1">
      <c r="A137" s="370"/>
      <c r="E137" s="662"/>
    </row>
    <row r="138" spans="1:5" s="342" customFormat="1">
      <c r="A138" s="370"/>
      <c r="E138" s="662"/>
    </row>
    <row r="139" spans="1:5" s="342" customFormat="1">
      <c r="A139" s="370"/>
      <c r="E139" s="662"/>
    </row>
    <row r="140" spans="1:5" s="342" customFormat="1">
      <c r="A140" s="370"/>
      <c r="E140" s="662"/>
    </row>
    <row r="141" spans="1:5" s="342" customFormat="1">
      <c r="A141" s="370"/>
      <c r="E141" s="662"/>
    </row>
    <row r="142" spans="1:5" s="342" customFormat="1">
      <c r="A142" s="370"/>
      <c r="E142" s="662"/>
    </row>
    <row r="143" spans="1:5" s="342" customFormat="1">
      <c r="A143" s="370"/>
      <c r="E143" s="662"/>
    </row>
    <row r="144" spans="1:5" s="342" customFormat="1">
      <c r="A144" s="370"/>
      <c r="E144" s="662"/>
    </row>
    <row r="145" spans="1:5" s="342" customFormat="1">
      <c r="A145" s="370"/>
      <c r="E145" s="662"/>
    </row>
    <row r="146" spans="1:5" s="342" customFormat="1">
      <c r="A146" s="370"/>
      <c r="E146" s="662"/>
    </row>
    <row r="147" spans="1:5" s="342" customFormat="1">
      <c r="A147" s="370"/>
      <c r="E147" s="662"/>
    </row>
    <row r="148" spans="1:5" s="342" customFormat="1">
      <c r="A148" s="370"/>
      <c r="E148" s="662"/>
    </row>
    <row r="149" spans="1:5" s="342" customFormat="1">
      <c r="A149" s="370"/>
      <c r="E149" s="662"/>
    </row>
    <row r="150" spans="1:5" s="342" customFormat="1">
      <c r="A150" s="370"/>
      <c r="E150" s="662"/>
    </row>
    <row r="151" spans="1:5" s="342" customFormat="1">
      <c r="A151" s="370"/>
      <c r="E151" s="662"/>
    </row>
    <row r="152" spans="1:5" s="342" customFormat="1">
      <c r="A152" s="370"/>
      <c r="E152" s="662"/>
    </row>
    <row r="153" spans="1:5" s="342" customFormat="1">
      <c r="A153" s="370"/>
      <c r="E153" s="662"/>
    </row>
    <row r="154" spans="1:5" s="342" customFormat="1">
      <c r="A154" s="370"/>
      <c r="E154" s="662"/>
    </row>
    <row r="155" spans="1:5" s="342" customFormat="1">
      <c r="A155" s="370"/>
      <c r="E155" s="662"/>
    </row>
    <row r="156" spans="1:5" s="342" customFormat="1">
      <c r="A156" s="370"/>
      <c r="E156" s="662"/>
    </row>
    <row r="157" spans="1:5" s="342" customFormat="1">
      <c r="A157" s="370"/>
      <c r="E157" s="662"/>
    </row>
    <row r="158" spans="1:5" s="342" customFormat="1">
      <c r="A158" s="370"/>
      <c r="E158" s="662"/>
    </row>
    <row r="159" spans="1:5" s="342" customFormat="1">
      <c r="A159" s="370"/>
      <c r="E159" s="662"/>
    </row>
    <row r="160" spans="1:5" s="342" customFormat="1">
      <c r="A160" s="370"/>
      <c r="E160" s="662"/>
    </row>
    <row r="161" spans="1:5" s="342" customFormat="1">
      <c r="A161" s="370"/>
      <c r="E161" s="662"/>
    </row>
    <row r="162" spans="1:5" s="342" customFormat="1">
      <c r="A162" s="370"/>
      <c r="E162" s="662"/>
    </row>
    <row r="163" spans="1:5" s="342" customFormat="1">
      <c r="A163" s="370"/>
      <c r="E163" s="662"/>
    </row>
    <row r="164" spans="1:5" s="342" customFormat="1">
      <c r="A164" s="370"/>
      <c r="E164" s="662"/>
    </row>
    <row r="165" spans="1:5" s="342" customFormat="1">
      <c r="A165" s="370"/>
      <c r="E165" s="662"/>
    </row>
    <row r="166" spans="1:5" s="342" customFormat="1">
      <c r="A166" s="370"/>
      <c r="E166" s="662"/>
    </row>
    <row r="167" spans="1:5" s="342" customFormat="1">
      <c r="A167" s="370"/>
      <c r="E167" s="662"/>
    </row>
    <row r="168" spans="1:5" s="342" customFormat="1">
      <c r="A168" s="370"/>
      <c r="E168" s="662"/>
    </row>
    <row r="169" spans="1:5" s="342" customFormat="1">
      <c r="A169" s="370"/>
      <c r="E169" s="662"/>
    </row>
    <row r="170" spans="1:5" s="342" customFormat="1">
      <c r="A170" s="370"/>
      <c r="E170" s="662"/>
    </row>
    <row r="171" spans="1:5" s="342" customFormat="1">
      <c r="A171" s="370"/>
      <c r="E171" s="662"/>
    </row>
    <row r="172" spans="1:5" s="342" customFormat="1">
      <c r="A172" s="370"/>
      <c r="E172" s="662"/>
    </row>
    <row r="173" spans="1:5" s="342" customFormat="1">
      <c r="A173" s="370"/>
      <c r="E173" s="662"/>
    </row>
    <row r="174" spans="1:5" s="342" customFormat="1">
      <c r="A174" s="370"/>
      <c r="E174" s="662"/>
    </row>
    <row r="175" spans="1:5" s="342" customFormat="1">
      <c r="A175" s="370"/>
      <c r="E175" s="662"/>
    </row>
    <row r="176" spans="1:5" s="342" customFormat="1">
      <c r="A176" s="370"/>
      <c r="E176" s="662"/>
    </row>
    <row r="177" spans="1:5" s="342" customFormat="1">
      <c r="A177" s="370"/>
      <c r="E177" s="662"/>
    </row>
    <row r="178" spans="1:5" s="342" customFormat="1">
      <c r="A178" s="370"/>
      <c r="E178" s="662"/>
    </row>
    <row r="179" spans="1:5" s="342" customFormat="1">
      <c r="A179" s="370"/>
      <c r="E179" s="662"/>
    </row>
  </sheetData>
  <sheetProtection algorithmName="SHA-512" hashValue="rS+yblWLMVeVlZZreGyPh5v8Rb4bJD9kCE+Loxmb1bo23JNWqkaiOhGFpRsvDAQ0k9lnFdFviPhRHXNbCOJrRQ==" saltValue="xiKWN/XvGgO5mqV2UPNNVQ==" spinCount="100000" sheet="1" formatCells="0" formatColumns="0" formatRows="0" insertColumns="0" insertRows="0" insertHyperlinks="0" deleteColumns="0" deleteRows="0" sort="0" autoFilter="0" pivotTables="0"/>
  <mergeCells count="1">
    <mergeCell ref="H1:I1"/>
  </mergeCells>
  <hyperlinks>
    <hyperlink ref="G1" location="ГЛАВНАЯ!A1" display="На главную" xr:uid="{00000000-0004-0000-1700-000000000000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26"/>
  <sheetViews>
    <sheetView workbookViewId="0">
      <pane ySplit="1" topLeftCell="A2" activePane="bottomLeft" state="frozen"/>
      <selection pane="bottomLeft" activeCell="I1" sqref="I1:J1"/>
    </sheetView>
  </sheetViews>
  <sheetFormatPr defaultRowHeight="14.3"/>
  <cols>
    <col min="1" max="1" width="12.125" bestFit="1" customWidth="1"/>
    <col min="2" max="2" width="12.875" bestFit="1" customWidth="1"/>
    <col min="3" max="3" width="11.375" style="371" customWidth="1"/>
    <col min="4" max="4" width="17" style="371" customWidth="1"/>
    <col min="5" max="5" width="18.375" bestFit="1" customWidth="1"/>
    <col min="6" max="6" width="20.75" bestFit="1" customWidth="1"/>
    <col min="7" max="7" width="20.375" bestFit="1" customWidth="1"/>
    <col min="8" max="8" width="11.25" customWidth="1"/>
    <col min="11" max="11" width="13.25" customWidth="1"/>
    <col min="12" max="12" width="14.125" customWidth="1"/>
  </cols>
  <sheetData>
    <row r="1" spans="1:12" s="378" customFormat="1" ht="37.549999999999997" customHeight="1" thickBot="1">
      <c r="A1" s="939" t="s">
        <v>2828</v>
      </c>
      <c r="B1" s="940"/>
      <c r="C1" s="940"/>
      <c r="D1" s="941"/>
      <c r="E1" s="520" t="s">
        <v>2830</v>
      </c>
      <c r="F1" s="520" t="s">
        <v>2831</v>
      </c>
      <c r="G1" s="520" t="s">
        <v>2832</v>
      </c>
      <c r="H1" s="521" t="s">
        <v>2829</v>
      </c>
      <c r="I1" s="942" t="s">
        <v>2304</v>
      </c>
      <c r="J1" s="943"/>
      <c r="K1" s="937" t="s">
        <v>3304</v>
      </c>
      <c r="L1" s="938"/>
    </row>
    <row r="2" spans="1:12" s="378" customFormat="1" ht="70.5" customHeight="1">
      <c r="A2" s="952" t="s">
        <v>2837</v>
      </c>
      <c r="B2" s="953" t="s">
        <v>2833</v>
      </c>
      <c r="C2" s="518" t="s">
        <v>2834</v>
      </c>
      <c r="D2" s="518" t="s">
        <v>3373</v>
      </c>
      <c r="E2" s="953">
        <v>650</v>
      </c>
      <c r="F2" s="953">
        <v>540</v>
      </c>
      <c r="G2" s="953">
        <v>230</v>
      </c>
      <c r="H2" s="519">
        <v>1650</v>
      </c>
    </row>
    <row r="3" spans="1:12" s="378" customFormat="1" ht="57.75" customHeight="1">
      <c r="A3" s="945"/>
      <c r="B3" s="947"/>
      <c r="C3" s="491" t="s">
        <v>2835</v>
      </c>
      <c r="D3" s="491" t="s">
        <v>3374</v>
      </c>
      <c r="E3" s="947"/>
      <c r="F3" s="947"/>
      <c r="G3" s="947"/>
      <c r="H3" s="492">
        <v>1770</v>
      </c>
    </row>
    <row r="4" spans="1:12" s="378" customFormat="1" ht="59.95" customHeight="1">
      <c r="A4" s="948" t="s">
        <v>2838</v>
      </c>
      <c r="B4" s="950" t="s">
        <v>2836</v>
      </c>
      <c r="C4" s="491" t="s">
        <v>2834</v>
      </c>
      <c r="D4" s="491" t="s">
        <v>3373</v>
      </c>
      <c r="E4" s="950">
        <v>700</v>
      </c>
      <c r="F4" s="950">
        <v>590</v>
      </c>
      <c r="G4" s="950">
        <v>230</v>
      </c>
      <c r="H4" s="492">
        <v>1725</v>
      </c>
    </row>
    <row r="5" spans="1:12" s="378" customFormat="1" ht="64.55" customHeight="1" thickBot="1">
      <c r="A5" s="949"/>
      <c r="B5" s="951"/>
      <c r="C5" s="491" t="s">
        <v>2835</v>
      </c>
      <c r="D5" s="493" t="s">
        <v>3374</v>
      </c>
      <c r="E5" s="951"/>
      <c r="F5" s="951"/>
      <c r="G5" s="951"/>
      <c r="H5" s="494">
        <v>1845</v>
      </c>
    </row>
    <row r="6" spans="1:12" s="378" customFormat="1" ht="66.099999999999994" customHeight="1">
      <c r="A6" s="944" t="s">
        <v>2839</v>
      </c>
      <c r="B6" s="946" t="s">
        <v>2833</v>
      </c>
      <c r="C6" s="491" t="s">
        <v>2834</v>
      </c>
      <c r="D6" s="495" t="s">
        <v>3373</v>
      </c>
      <c r="E6" s="946">
        <v>650</v>
      </c>
      <c r="F6" s="946">
        <v>840</v>
      </c>
      <c r="G6" s="946">
        <v>230</v>
      </c>
      <c r="H6" s="496">
        <v>2400</v>
      </c>
    </row>
    <row r="7" spans="1:12" s="378" customFormat="1" ht="61.5" customHeight="1">
      <c r="A7" s="945"/>
      <c r="B7" s="947"/>
      <c r="C7" s="491" t="s">
        <v>2835</v>
      </c>
      <c r="D7" s="491" t="s">
        <v>3374</v>
      </c>
      <c r="E7" s="947"/>
      <c r="F7" s="947"/>
      <c r="G7" s="947"/>
      <c r="H7" s="492">
        <v>2550</v>
      </c>
    </row>
    <row r="8" spans="1:12" s="378" customFormat="1" ht="57.75" customHeight="1">
      <c r="A8" s="948" t="s">
        <v>2840</v>
      </c>
      <c r="B8" s="950" t="s">
        <v>2836</v>
      </c>
      <c r="C8" s="491" t="s">
        <v>2834</v>
      </c>
      <c r="D8" s="491" t="s">
        <v>3373</v>
      </c>
      <c r="E8" s="950">
        <v>700</v>
      </c>
      <c r="F8" s="950">
        <v>890</v>
      </c>
      <c r="G8" s="950">
        <v>230</v>
      </c>
      <c r="H8" s="492">
        <v>2505</v>
      </c>
    </row>
    <row r="9" spans="1:12" s="378" customFormat="1" ht="68.95" customHeight="1" thickBot="1">
      <c r="A9" s="949"/>
      <c r="B9" s="951"/>
      <c r="C9" s="491" t="s">
        <v>2835</v>
      </c>
      <c r="D9" s="493" t="s">
        <v>3374</v>
      </c>
      <c r="E9" s="951"/>
      <c r="F9" s="951"/>
      <c r="G9" s="951"/>
      <c r="H9" s="494">
        <v>2670</v>
      </c>
    </row>
    <row r="10" spans="1:12" s="378" customFormat="1" ht="83.25" customHeight="1">
      <c r="A10" s="944" t="s">
        <v>2841</v>
      </c>
      <c r="B10" s="946" t="s">
        <v>2833</v>
      </c>
      <c r="C10" s="491" t="s">
        <v>2834</v>
      </c>
      <c r="D10" s="495" t="s">
        <v>3373</v>
      </c>
      <c r="E10" s="946">
        <v>1300</v>
      </c>
      <c r="F10" s="946">
        <v>540</v>
      </c>
      <c r="G10" s="946">
        <v>230</v>
      </c>
      <c r="H10" s="496">
        <v>2850</v>
      </c>
    </row>
    <row r="11" spans="1:12" s="378" customFormat="1" ht="90.7" customHeight="1">
      <c r="A11" s="945"/>
      <c r="B11" s="947"/>
      <c r="C11" s="491" t="s">
        <v>2835</v>
      </c>
      <c r="D11" s="491" t="s">
        <v>3374</v>
      </c>
      <c r="E11" s="947"/>
      <c r="F11" s="947"/>
      <c r="G11" s="947"/>
      <c r="H11" s="492">
        <v>3075</v>
      </c>
    </row>
    <row r="12" spans="1:12" s="378" customFormat="1" ht="79.5" customHeight="1">
      <c r="A12" s="948" t="s">
        <v>2842</v>
      </c>
      <c r="B12" s="950" t="s">
        <v>2836</v>
      </c>
      <c r="C12" s="491" t="s">
        <v>2834</v>
      </c>
      <c r="D12" s="491" t="s">
        <v>3373</v>
      </c>
      <c r="E12" s="950">
        <v>1350</v>
      </c>
      <c r="F12" s="950">
        <v>590</v>
      </c>
      <c r="G12" s="950">
        <v>230</v>
      </c>
      <c r="H12" s="492">
        <v>3000</v>
      </c>
    </row>
    <row r="13" spans="1:12" s="378" customFormat="1" ht="96.8" customHeight="1" thickBot="1">
      <c r="A13" s="949"/>
      <c r="B13" s="951"/>
      <c r="C13" s="493" t="s">
        <v>2835</v>
      </c>
      <c r="D13" s="493" t="s">
        <v>3374</v>
      </c>
      <c r="E13" s="951"/>
      <c r="F13" s="951"/>
      <c r="G13" s="951"/>
      <c r="H13" s="494">
        <v>3225</v>
      </c>
    </row>
    <row r="14" spans="1:12" s="378" customFormat="1" ht="18.350000000000001">
      <c r="A14" s="379"/>
      <c r="B14" s="379"/>
      <c r="C14" s="385"/>
      <c r="D14" s="385"/>
      <c r="E14" s="380"/>
      <c r="F14" s="380"/>
      <c r="G14" s="380"/>
      <c r="H14" s="381"/>
    </row>
    <row r="15" spans="1:12" s="378" customFormat="1" ht="18.350000000000001">
      <c r="A15" s="379"/>
      <c r="B15" s="379"/>
      <c r="C15" s="385"/>
      <c r="D15" s="385"/>
      <c r="E15" s="380"/>
      <c r="F15" s="380"/>
      <c r="G15" s="380"/>
      <c r="H15" s="381"/>
    </row>
    <row r="16" spans="1:12" s="378" customFormat="1" ht="18.350000000000001">
      <c r="A16" s="379"/>
      <c r="B16" s="379"/>
      <c r="C16" s="385"/>
      <c r="D16" s="385"/>
      <c r="E16" s="380"/>
      <c r="F16" s="380"/>
      <c r="G16" s="380"/>
      <c r="H16" s="381"/>
    </row>
    <row r="17" spans="1:8" s="378" customFormat="1" ht="18.350000000000001">
      <c r="A17" s="379"/>
      <c r="B17" s="379"/>
      <c r="C17" s="385"/>
      <c r="D17" s="385"/>
      <c r="E17" s="380"/>
      <c r="F17" s="380"/>
      <c r="G17" s="380"/>
      <c r="H17" s="381"/>
    </row>
    <row r="18" spans="1:8" s="378" customFormat="1" ht="18.350000000000001">
      <c r="A18" s="379"/>
      <c r="B18" s="379"/>
      <c r="C18" s="385"/>
      <c r="D18" s="385"/>
      <c r="E18" s="380"/>
      <c r="F18" s="382"/>
      <c r="G18" s="383"/>
      <c r="H18" s="381"/>
    </row>
    <row r="19" spans="1:8" s="378" customFormat="1" ht="18.350000000000001">
      <c r="A19" s="379"/>
      <c r="B19" s="379"/>
      <c r="C19" s="385"/>
      <c r="D19" s="385"/>
      <c r="E19" s="380"/>
      <c r="F19" s="382"/>
      <c r="G19" s="384"/>
      <c r="H19" s="384"/>
    </row>
    <row r="20" spans="1:8" s="378" customFormat="1" ht="18.350000000000001">
      <c r="A20" s="379"/>
      <c r="B20" s="379"/>
      <c r="C20" s="385"/>
      <c r="D20" s="385"/>
      <c r="E20" s="380"/>
      <c r="F20" s="380"/>
      <c r="G20" s="380"/>
      <c r="H20" s="381"/>
    </row>
    <row r="21" spans="1:8" s="378" customFormat="1" ht="18.350000000000001">
      <c r="A21" s="379"/>
      <c r="B21" s="379"/>
      <c r="C21" s="385"/>
      <c r="D21" s="385"/>
      <c r="E21" s="380"/>
      <c r="F21" s="380"/>
      <c r="G21" s="380"/>
      <c r="H21" s="381"/>
    </row>
    <row r="22" spans="1:8" s="378" customFormat="1" ht="18.350000000000001">
      <c r="A22" s="379"/>
      <c r="B22" s="379"/>
      <c r="C22" s="385"/>
      <c r="D22" s="385"/>
      <c r="E22" s="380"/>
      <c r="F22" s="380"/>
      <c r="G22" s="380"/>
      <c r="H22" s="381"/>
    </row>
    <row r="23" spans="1:8" s="378" customFormat="1" ht="18.350000000000001">
      <c r="A23" s="379"/>
      <c r="B23" s="379"/>
      <c r="C23" s="385"/>
      <c r="D23" s="385"/>
      <c r="E23" s="380"/>
      <c r="F23" s="380"/>
      <c r="G23" s="380"/>
      <c r="H23" s="381"/>
    </row>
    <row r="24" spans="1:8" s="378" customFormat="1" ht="18.350000000000001">
      <c r="A24" s="379"/>
      <c r="B24" s="379"/>
      <c r="C24" s="385"/>
      <c r="D24" s="385"/>
      <c r="E24" s="380"/>
      <c r="F24" s="380"/>
      <c r="G24" s="380"/>
      <c r="H24" s="381"/>
    </row>
    <row r="25" spans="1:8" s="378" customFormat="1" ht="18.350000000000001">
      <c r="A25" s="379"/>
      <c r="B25" s="379"/>
      <c r="C25" s="385"/>
      <c r="D25" s="385"/>
      <c r="E25" s="380"/>
      <c r="F25" s="380"/>
      <c r="G25" s="380"/>
      <c r="H25" s="381"/>
    </row>
    <row r="26" spans="1:8" s="378" customFormat="1" ht="18.350000000000001">
      <c r="A26" s="379"/>
      <c r="B26" s="379"/>
      <c r="C26" s="385"/>
      <c r="D26" s="385"/>
      <c r="E26" s="380"/>
      <c r="F26" s="380"/>
      <c r="G26" s="380"/>
      <c r="H26" s="381"/>
    </row>
  </sheetData>
  <mergeCells count="33">
    <mergeCell ref="F8:F9"/>
    <mergeCell ref="G8:G9"/>
    <mergeCell ref="G4:G5"/>
    <mergeCell ref="A2:A3"/>
    <mergeCell ref="G2:G3"/>
    <mergeCell ref="B2:B3"/>
    <mergeCell ref="E2:E3"/>
    <mergeCell ref="F2:F3"/>
    <mergeCell ref="A4:A5"/>
    <mergeCell ref="B4:B5"/>
    <mergeCell ref="E4:E5"/>
    <mergeCell ref="F4:F5"/>
    <mergeCell ref="A12:A13"/>
    <mergeCell ref="B12:B13"/>
    <mergeCell ref="E12:E13"/>
    <mergeCell ref="F12:F13"/>
    <mergeCell ref="G12:G13"/>
    <mergeCell ref="K1:L1"/>
    <mergeCell ref="A1:D1"/>
    <mergeCell ref="I1:J1"/>
    <mergeCell ref="A10:A11"/>
    <mergeCell ref="B10:B11"/>
    <mergeCell ref="E10:E11"/>
    <mergeCell ref="F10:F11"/>
    <mergeCell ref="G10:G11"/>
    <mergeCell ref="A6:A7"/>
    <mergeCell ref="B6:B7"/>
    <mergeCell ref="E6:E7"/>
    <mergeCell ref="F6:F7"/>
    <mergeCell ref="G6:G7"/>
    <mergeCell ref="A8:A9"/>
    <mergeCell ref="B8:B9"/>
    <mergeCell ref="E8:E9"/>
  </mergeCells>
  <hyperlinks>
    <hyperlink ref="I1" location="ГЛАВНАЯ!A1" display="На главную" xr:uid="{00000000-0004-0000-18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0"/>
  <sheetViews>
    <sheetView workbookViewId="0">
      <pane ySplit="1" topLeftCell="A6" activePane="bottomLeft" state="frozen"/>
      <selection pane="bottomLeft" activeCell="E1" sqref="E1:F1"/>
    </sheetView>
  </sheetViews>
  <sheetFormatPr defaultRowHeight="14.3"/>
  <cols>
    <col min="1" max="1" width="23.25" style="498" bestFit="1" customWidth="1"/>
    <col min="2" max="2" width="28.625" style="498" bestFit="1" customWidth="1"/>
    <col min="3" max="3" width="22" style="735" customWidth="1"/>
    <col min="4" max="4" width="26" style="498" customWidth="1"/>
    <col min="7" max="7" width="14.625" customWidth="1"/>
    <col min="8" max="8" width="13.375" customWidth="1"/>
  </cols>
  <sheetData>
    <row r="1" spans="1:8" ht="40.6" customHeight="1" thickBot="1">
      <c r="A1" s="954" t="s">
        <v>2875</v>
      </c>
      <c r="B1" s="955"/>
      <c r="C1" s="955"/>
      <c r="D1" s="956"/>
      <c r="E1" s="960" t="s">
        <v>2304</v>
      </c>
      <c r="F1" s="961"/>
      <c r="G1" s="962" t="s">
        <v>3304</v>
      </c>
      <c r="H1" s="963"/>
    </row>
    <row r="2" spans="1:8" ht="39.1" customHeight="1" thickBot="1">
      <c r="A2" s="499" t="s">
        <v>2</v>
      </c>
      <c r="B2" s="499" t="s">
        <v>2876</v>
      </c>
      <c r="C2" s="732" t="s">
        <v>2874</v>
      </c>
      <c r="D2" s="504" t="s">
        <v>2873</v>
      </c>
    </row>
    <row r="3" spans="1:8">
      <c r="A3" s="497" t="s">
        <v>2845</v>
      </c>
      <c r="B3" s="500">
        <v>7816.8096000000014</v>
      </c>
      <c r="C3" s="733">
        <v>11505.789000000001</v>
      </c>
      <c r="D3" s="501">
        <v>9175.5</v>
      </c>
      <c r="F3" s="3"/>
      <c r="G3" s="3"/>
      <c r="H3" s="3"/>
    </row>
    <row r="4" spans="1:8">
      <c r="A4" s="502" t="s">
        <v>2846</v>
      </c>
      <c r="B4" s="503">
        <v>13629.064799999996</v>
      </c>
      <c r="C4" s="734">
        <v>19949.79825</v>
      </c>
      <c r="D4" s="504">
        <v>15278.883749999997</v>
      </c>
      <c r="F4" s="3"/>
      <c r="G4" s="3"/>
      <c r="H4" s="3"/>
    </row>
    <row r="5" spans="1:8">
      <c r="A5" s="502" t="s">
        <v>2847</v>
      </c>
      <c r="B5" s="503">
        <v>9096.6216000000004</v>
      </c>
      <c r="C5" s="734">
        <v>13340.652750000001</v>
      </c>
      <c r="D5" s="504">
        <v>10644.98625</v>
      </c>
      <c r="F5" s="3"/>
      <c r="G5" s="3"/>
      <c r="H5" s="3"/>
    </row>
    <row r="6" spans="1:8">
      <c r="A6" s="502" t="s">
        <v>2848</v>
      </c>
      <c r="B6" s="503">
        <v>15828.66</v>
      </c>
      <c r="C6" s="734">
        <v>23089.218749999996</v>
      </c>
      <c r="D6" s="504">
        <v>17643.206249999999</v>
      </c>
      <c r="F6" s="3"/>
      <c r="G6" s="3"/>
      <c r="H6" s="3"/>
    </row>
    <row r="7" spans="1:8">
      <c r="A7" s="502" t="s">
        <v>2849</v>
      </c>
      <c r="B7" s="503">
        <v>10749.765600000002</v>
      </c>
      <c r="C7" s="734">
        <v>15807.755250000002</v>
      </c>
      <c r="D7" s="504">
        <v>12477.678750000003</v>
      </c>
      <c r="F7" s="3"/>
      <c r="G7" s="3"/>
      <c r="H7" s="3"/>
    </row>
    <row r="8" spans="1:8">
      <c r="A8" s="502" t="s">
        <v>2850</v>
      </c>
      <c r="B8" s="503">
        <v>18756.475200000001</v>
      </c>
      <c r="C8" s="734">
        <v>27384.475500000004</v>
      </c>
      <c r="D8" s="504">
        <v>20715.997500000005</v>
      </c>
      <c r="F8" s="3"/>
      <c r="G8" s="3"/>
      <c r="H8" s="3"/>
    </row>
    <row r="9" spans="1:8">
      <c r="A9" s="502" t="s">
        <v>2851</v>
      </c>
      <c r="B9" s="503">
        <v>7383.7795500000011</v>
      </c>
      <c r="C9" s="734">
        <v>9641.6310000000012</v>
      </c>
      <c r="D9" s="504">
        <v>8617.6050000000014</v>
      </c>
      <c r="F9" s="3"/>
      <c r="G9" s="3"/>
      <c r="H9" s="3"/>
    </row>
    <row r="10" spans="1:8">
      <c r="A10" s="502" t="s">
        <v>2852</v>
      </c>
      <c r="B10" s="503">
        <v>8459.5077000000001</v>
      </c>
      <c r="C10" s="734">
        <v>11098.314</v>
      </c>
      <c r="D10" s="504">
        <v>9900.7800000000007</v>
      </c>
      <c r="F10" s="3"/>
      <c r="G10" s="3"/>
      <c r="H10" s="3"/>
    </row>
    <row r="11" spans="1:8">
      <c r="A11" s="502" t="s">
        <v>2853</v>
      </c>
      <c r="B11" s="503">
        <v>11857.84425</v>
      </c>
      <c r="C11" s="734">
        <v>15397.005000000001</v>
      </c>
      <c r="D11" s="504">
        <v>13479.434999999998</v>
      </c>
      <c r="F11" s="3"/>
      <c r="G11" s="3"/>
      <c r="H11" s="3"/>
    </row>
    <row r="12" spans="1:8">
      <c r="A12" s="502" t="s">
        <v>2854</v>
      </c>
      <c r="B12" s="503">
        <v>7384.9482000000007</v>
      </c>
      <c r="C12" s="734">
        <v>9520.5240000000013</v>
      </c>
      <c r="D12" s="504">
        <v>8618.760000000002</v>
      </c>
      <c r="F12" s="3"/>
      <c r="G12" s="3"/>
      <c r="H12" s="3"/>
    </row>
    <row r="13" spans="1:8">
      <c r="A13" s="502" t="s">
        <v>2855</v>
      </c>
      <c r="B13" s="503">
        <v>8517.6063000000013</v>
      </c>
      <c r="C13" s="734">
        <v>11128.446000000002</v>
      </c>
      <c r="D13" s="504">
        <v>9958.2000000000007</v>
      </c>
      <c r="F13" s="3"/>
      <c r="G13" s="3"/>
      <c r="H13" s="3"/>
    </row>
    <row r="14" spans="1:8">
      <c r="A14" s="502" t="s">
        <v>2856</v>
      </c>
      <c r="B14" s="503">
        <v>11837.643300000002</v>
      </c>
      <c r="C14" s="734">
        <v>15367.686000000002</v>
      </c>
      <c r="D14" s="504">
        <v>13459.470000000001</v>
      </c>
      <c r="F14" s="3"/>
      <c r="G14" s="3"/>
      <c r="H14" s="3"/>
    </row>
    <row r="15" spans="1:8">
      <c r="A15" s="502" t="s">
        <v>2857</v>
      </c>
      <c r="B15" s="503">
        <v>7925.8661999999995</v>
      </c>
      <c r="C15" s="734">
        <v>10170.503999999999</v>
      </c>
      <c r="D15" s="504">
        <v>9153.3599999999988</v>
      </c>
      <c r="F15" s="3"/>
      <c r="G15" s="3"/>
      <c r="H15" s="3"/>
    </row>
    <row r="16" spans="1:8">
      <c r="A16" s="502" t="s">
        <v>2858</v>
      </c>
      <c r="B16" s="503">
        <v>10472.959349999999</v>
      </c>
      <c r="C16" s="734">
        <v>13349.156999999999</v>
      </c>
      <c r="D16" s="504">
        <v>12000.72</v>
      </c>
      <c r="F16" s="3"/>
      <c r="G16" s="3"/>
      <c r="H16" s="3"/>
    </row>
    <row r="17" spans="1:8">
      <c r="A17" s="502" t="s">
        <v>2859</v>
      </c>
      <c r="B17" s="503">
        <v>13173.813450000001</v>
      </c>
      <c r="C17" s="734">
        <v>16594.869000000002</v>
      </c>
      <c r="D17" s="504">
        <v>15000.045000000002</v>
      </c>
      <c r="F17" s="3"/>
      <c r="G17" s="3"/>
      <c r="H17" s="3"/>
    </row>
    <row r="18" spans="1:8">
      <c r="A18" s="502" t="s">
        <v>2860</v>
      </c>
      <c r="B18" s="503">
        <v>6936.6874500000013</v>
      </c>
      <c r="C18" s="734">
        <v>9100.5390000000025</v>
      </c>
      <c r="D18" s="504">
        <v>8175.7350000000006</v>
      </c>
      <c r="F18" s="3"/>
      <c r="G18" s="3"/>
      <c r="H18" s="3"/>
    </row>
    <row r="19" spans="1:8">
      <c r="A19" s="502" t="s">
        <v>2861</v>
      </c>
      <c r="B19" s="503">
        <v>8809.7341500000002</v>
      </c>
      <c r="C19" s="734">
        <v>11426.823</v>
      </c>
      <c r="D19" s="504">
        <v>10136.91</v>
      </c>
      <c r="F19" s="3"/>
      <c r="G19" s="3"/>
      <c r="H19" s="3"/>
    </row>
    <row r="20" spans="1:8">
      <c r="A20" s="502" t="s">
        <v>2862</v>
      </c>
      <c r="B20" s="503">
        <v>10502.7111</v>
      </c>
      <c r="C20" s="734">
        <v>13756.121999999999</v>
      </c>
      <c r="D20" s="504">
        <v>12140.130000000001</v>
      </c>
      <c r="F20" s="3"/>
      <c r="G20" s="3"/>
      <c r="H20" s="3"/>
    </row>
    <row r="21" spans="1:8">
      <c r="A21" s="502" t="s">
        <v>2863</v>
      </c>
      <c r="B21" s="503">
        <v>3640.4423999999999</v>
      </c>
      <c r="C21" s="734">
        <v>5306.6947499999997</v>
      </c>
      <c r="D21" s="504">
        <v>3990.4762499999997</v>
      </c>
      <c r="F21" s="3"/>
      <c r="G21" s="3"/>
      <c r="H21" s="3"/>
    </row>
    <row r="22" spans="1:8">
      <c r="A22" s="502" t="s">
        <v>2864</v>
      </c>
      <c r="B22" s="503">
        <v>6456.6503999999986</v>
      </c>
      <c r="C22" s="734">
        <v>9343.5997499999976</v>
      </c>
      <c r="D22" s="504">
        <v>6730.3012500000004</v>
      </c>
      <c r="F22" s="3"/>
      <c r="G22" s="3"/>
      <c r="H22" s="3"/>
    </row>
    <row r="23" spans="1:8">
      <c r="A23" s="502" t="s">
        <v>2865</v>
      </c>
      <c r="B23" s="503">
        <v>2870.8438500000002</v>
      </c>
      <c r="C23" s="734">
        <v>3844.8269999999998</v>
      </c>
      <c r="D23" s="504">
        <v>3277.335</v>
      </c>
      <c r="F23" s="3"/>
      <c r="G23" s="3"/>
      <c r="H23" s="3"/>
    </row>
    <row r="24" spans="1:8">
      <c r="A24" s="502" t="s">
        <v>2866</v>
      </c>
      <c r="B24" s="503">
        <v>2825.9342999999999</v>
      </c>
      <c r="C24" s="734">
        <v>3798.2760000000003</v>
      </c>
      <c r="D24" s="504">
        <v>3232.95</v>
      </c>
      <c r="F24" s="3"/>
      <c r="G24" s="3"/>
      <c r="H24" s="3"/>
    </row>
    <row r="25" spans="1:8">
      <c r="A25" s="502" t="s">
        <v>2867</v>
      </c>
      <c r="B25" s="503">
        <v>3619.7815499999997</v>
      </c>
      <c r="C25" s="734">
        <v>4642.5210000000006</v>
      </c>
      <c r="D25" s="504">
        <v>4017.5249999999996</v>
      </c>
      <c r="F25" s="3"/>
      <c r="G25" s="3"/>
      <c r="H25" s="3"/>
    </row>
    <row r="26" spans="1:8">
      <c r="A26" s="502" t="s">
        <v>2868</v>
      </c>
      <c r="B26" s="503">
        <v>4456.4304000000002</v>
      </c>
      <c r="C26" s="734">
        <v>6476.1435000000001</v>
      </c>
      <c r="D26" s="504">
        <v>4784.3324999999995</v>
      </c>
      <c r="F26" s="3"/>
      <c r="G26" s="3"/>
      <c r="H26" s="3"/>
    </row>
    <row r="27" spans="1:8">
      <c r="A27" s="502" t="s">
        <v>2869</v>
      </c>
      <c r="B27" s="503">
        <v>8179.32</v>
      </c>
      <c r="C27" s="734">
        <v>11812.252500000001</v>
      </c>
      <c r="D27" s="504">
        <v>8406.2474999999995</v>
      </c>
      <c r="F27" s="3"/>
      <c r="G27" s="3"/>
      <c r="H27" s="3"/>
    </row>
    <row r="28" spans="1:8">
      <c r="A28" s="502" t="s">
        <v>2870</v>
      </c>
      <c r="B28" s="503">
        <v>3347.82</v>
      </c>
      <c r="C28" s="734">
        <v>4450.92</v>
      </c>
      <c r="D28" s="504">
        <v>3748.7399999999989</v>
      </c>
      <c r="F28" s="3"/>
      <c r="G28" s="3"/>
      <c r="H28" s="3"/>
    </row>
    <row r="29" spans="1:8">
      <c r="A29" s="502" t="s">
        <v>2871</v>
      </c>
      <c r="B29" s="503">
        <v>3306.5833499999999</v>
      </c>
      <c r="C29" s="734">
        <v>4397.1569999999992</v>
      </c>
      <c r="D29" s="504">
        <v>3707.9849999999997</v>
      </c>
      <c r="F29" s="3"/>
      <c r="G29" s="3"/>
      <c r="H29" s="3"/>
    </row>
    <row r="30" spans="1:8" ht="14.95" thickBot="1">
      <c r="A30" s="502" t="s">
        <v>2872</v>
      </c>
      <c r="B30" s="503">
        <v>4096.5907500000003</v>
      </c>
      <c r="C30" s="734">
        <v>5276.8050000000003</v>
      </c>
      <c r="D30" s="504">
        <v>4488.7649999999994</v>
      </c>
      <c r="F30" s="3"/>
      <c r="G30" s="3"/>
      <c r="H30" s="3"/>
    </row>
    <row r="31" spans="1:8">
      <c r="A31" s="954" t="s">
        <v>2877</v>
      </c>
      <c r="B31" s="955"/>
      <c r="C31" s="955"/>
      <c r="D31" s="956"/>
    </row>
    <row r="32" spans="1:8" ht="14.95" thickBot="1">
      <c r="A32" s="957"/>
      <c r="B32" s="958"/>
      <c r="C32" s="958"/>
      <c r="D32" s="959"/>
    </row>
    <row r="33" spans="1:8" ht="35.35" customHeight="1" thickBot="1">
      <c r="A33" s="505" t="s">
        <v>2</v>
      </c>
      <c r="B33" s="499" t="s">
        <v>2876</v>
      </c>
      <c r="C33" s="732" t="s">
        <v>2874</v>
      </c>
      <c r="D33" s="504" t="s">
        <v>2873</v>
      </c>
    </row>
    <row r="34" spans="1:8">
      <c r="A34" s="502" t="s">
        <v>2846</v>
      </c>
      <c r="B34" s="500">
        <v>6817.6536000000015</v>
      </c>
      <c r="C34" s="733">
        <v>10074.215250000001</v>
      </c>
      <c r="D34" s="501">
        <v>8063.3767499999994</v>
      </c>
      <c r="F34" s="3"/>
      <c r="G34" s="3"/>
      <c r="H34" s="3"/>
    </row>
    <row r="35" spans="1:8">
      <c r="A35" s="502" t="s">
        <v>2847</v>
      </c>
      <c r="B35" s="503">
        <v>11671.965600000001</v>
      </c>
      <c r="C35" s="734">
        <v>17145.699750000003</v>
      </c>
      <c r="D35" s="504">
        <v>13098.570750000003</v>
      </c>
      <c r="F35" s="3"/>
      <c r="G35" s="3"/>
      <c r="H35" s="3"/>
    </row>
    <row r="36" spans="1:8">
      <c r="A36" s="502" t="s">
        <v>2848</v>
      </c>
      <c r="B36" s="503">
        <v>7900.8144000000002</v>
      </c>
      <c r="C36" s="734">
        <v>11627.320500000002</v>
      </c>
      <c r="D36" s="504">
        <v>9320.67</v>
      </c>
      <c r="F36" s="3"/>
      <c r="G36" s="3"/>
      <c r="H36" s="3"/>
    </row>
    <row r="37" spans="1:8">
      <c r="A37" s="502" t="s">
        <v>2849</v>
      </c>
      <c r="B37" s="503">
        <v>13476.4776</v>
      </c>
      <c r="C37" s="734">
        <v>19719.051749999999</v>
      </c>
      <c r="D37" s="504">
        <v>15036.45075</v>
      </c>
      <c r="F37" s="3"/>
      <c r="G37" s="3"/>
      <c r="H37" s="3"/>
    </row>
    <row r="38" spans="1:8">
      <c r="A38" s="502" t="s">
        <v>2850</v>
      </c>
      <c r="B38" s="503">
        <v>9400.4280000000017</v>
      </c>
      <c r="C38" s="734">
        <v>13874.447249999999</v>
      </c>
      <c r="D38" s="504">
        <v>10972.04175</v>
      </c>
      <c r="F38" s="3"/>
      <c r="G38" s="3"/>
      <c r="H38" s="3"/>
    </row>
    <row r="39" spans="1:8">
      <c r="A39" s="502" t="s">
        <v>2851</v>
      </c>
      <c r="B39" s="503">
        <v>16100.0304</v>
      </c>
      <c r="C39" s="734">
        <v>23578.3665</v>
      </c>
      <c r="D39" s="504">
        <v>17749.489499999996</v>
      </c>
      <c r="F39" s="3"/>
      <c r="G39" s="3"/>
      <c r="H39" s="3"/>
    </row>
    <row r="40" spans="1:8">
      <c r="A40" s="502" t="s">
        <v>2852</v>
      </c>
      <c r="B40" s="503">
        <v>6506.7912000000006</v>
      </c>
      <c r="C40" s="734">
        <v>8475.4650000000001</v>
      </c>
      <c r="D40" s="504">
        <v>7634.3460000000005</v>
      </c>
      <c r="F40" s="3"/>
      <c r="G40" s="3"/>
      <c r="H40" s="3"/>
    </row>
    <row r="41" spans="1:8">
      <c r="A41" s="502" t="s">
        <v>2853</v>
      </c>
      <c r="B41" s="503">
        <v>7475.5043999999989</v>
      </c>
      <c r="C41" s="734">
        <v>9789.8459999999995</v>
      </c>
      <c r="D41" s="504">
        <v>8800.1999999999989</v>
      </c>
      <c r="F41" s="3"/>
      <c r="G41" s="3"/>
      <c r="H41" s="3"/>
    </row>
    <row r="42" spans="1:8">
      <c r="A42" s="502" t="s">
        <v>2854</v>
      </c>
      <c r="B42" s="503">
        <v>10346.278950000002</v>
      </c>
      <c r="C42" s="734">
        <v>13387.017</v>
      </c>
      <c r="D42" s="504">
        <v>11782.413</v>
      </c>
      <c r="F42" s="3"/>
      <c r="G42" s="3"/>
      <c r="H42" s="3"/>
    </row>
    <row r="43" spans="1:8">
      <c r="A43" s="502" t="s">
        <v>2855</v>
      </c>
      <c r="B43" s="503">
        <v>6501.4488000000001</v>
      </c>
      <c r="C43" s="734">
        <v>8345.7000000000007</v>
      </c>
      <c r="D43" s="504">
        <v>7629.2579999999998</v>
      </c>
      <c r="F43" s="3"/>
      <c r="G43" s="3"/>
      <c r="H43" s="3"/>
    </row>
    <row r="44" spans="1:8">
      <c r="A44" s="502" t="s">
        <v>2856</v>
      </c>
      <c r="B44" s="503">
        <v>7512.7342499999995</v>
      </c>
      <c r="C44" s="734">
        <v>9792.2279999999992</v>
      </c>
      <c r="D44" s="504">
        <v>8835.6569999999992</v>
      </c>
      <c r="F44" s="3"/>
      <c r="G44" s="3"/>
      <c r="H44" s="3"/>
    </row>
    <row r="45" spans="1:8">
      <c r="A45" s="502" t="s">
        <v>2857</v>
      </c>
      <c r="B45" s="503">
        <v>10321.236449999999</v>
      </c>
      <c r="C45" s="734">
        <v>13351.26</v>
      </c>
      <c r="D45" s="504">
        <v>11758.562999999998</v>
      </c>
      <c r="F45" s="3"/>
      <c r="G45" s="3"/>
      <c r="H45" s="3"/>
    </row>
    <row r="46" spans="1:8">
      <c r="A46" s="502" t="s">
        <v>2858</v>
      </c>
      <c r="B46" s="503">
        <v>6819.4885500000019</v>
      </c>
      <c r="C46" s="734">
        <v>8699.3100000000013</v>
      </c>
      <c r="D46" s="504">
        <v>7932.1530000000002</v>
      </c>
      <c r="F46" s="3"/>
      <c r="G46" s="3"/>
      <c r="H46" s="3"/>
    </row>
    <row r="47" spans="1:8">
      <c r="A47" s="502" t="s">
        <v>2859</v>
      </c>
      <c r="B47" s="503">
        <v>8952.5456999999988</v>
      </c>
      <c r="C47" s="734">
        <v>11327.402999999998</v>
      </c>
      <c r="D47" s="504">
        <v>10325.661</v>
      </c>
      <c r="F47" s="3"/>
      <c r="G47" s="3"/>
      <c r="H47" s="3"/>
    </row>
    <row r="48" spans="1:8">
      <c r="A48" s="502" t="s">
        <v>2860</v>
      </c>
      <c r="B48" s="503">
        <v>11260.90035</v>
      </c>
      <c r="C48" s="734">
        <v>14051.192999999999</v>
      </c>
      <c r="D48" s="504">
        <v>12890.991000000002</v>
      </c>
      <c r="F48" s="3"/>
      <c r="G48" s="3"/>
      <c r="H48" s="3"/>
    </row>
    <row r="49" spans="1:8">
      <c r="A49" s="502" t="s">
        <v>2861</v>
      </c>
      <c r="B49" s="503">
        <v>6231.6576000000005</v>
      </c>
      <c r="C49" s="734">
        <v>8163.0329999999994</v>
      </c>
      <c r="D49" s="504">
        <v>7372.3140000000003</v>
      </c>
      <c r="F49" s="3"/>
      <c r="G49" s="3"/>
      <c r="H49" s="3"/>
    </row>
    <row r="50" spans="1:8">
      <c r="A50" s="502" t="s">
        <v>2862</v>
      </c>
      <c r="B50" s="503">
        <v>7787.4992999999995</v>
      </c>
      <c r="C50" s="734">
        <v>10067.517</v>
      </c>
      <c r="D50" s="504">
        <v>8978.5829999999987</v>
      </c>
      <c r="F50" s="3"/>
      <c r="G50" s="3"/>
      <c r="H50" s="3"/>
    </row>
    <row r="51" spans="1:8">
      <c r="A51" s="502" t="s">
        <v>2863</v>
      </c>
      <c r="B51" s="503">
        <v>9435.2327999999998</v>
      </c>
      <c r="C51" s="734">
        <v>12336.653999999999</v>
      </c>
      <c r="D51" s="504">
        <v>10914.75</v>
      </c>
      <c r="F51" s="3"/>
      <c r="G51" s="3"/>
      <c r="H51" s="3"/>
    </row>
    <row r="52" spans="1:8">
      <c r="A52" s="502" t="s">
        <v>2864</v>
      </c>
      <c r="B52" s="503">
        <v>3099.9696000000004</v>
      </c>
      <c r="C52" s="734">
        <v>4532.3144999999995</v>
      </c>
      <c r="D52" s="504">
        <v>3381.2415000000001</v>
      </c>
      <c r="F52" s="3"/>
      <c r="G52" s="3"/>
      <c r="H52" s="3"/>
    </row>
    <row r="53" spans="1:8">
      <c r="A53" s="502" t="s">
        <v>2865</v>
      </c>
      <c r="B53" s="503">
        <v>5399.1095999999998</v>
      </c>
      <c r="C53" s="734">
        <v>7828.3732500000006</v>
      </c>
      <c r="D53" s="504">
        <v>5536.6852499999995</v>
      </c>
      <c r="F53" s="3"/>
      <c r="G53" s="3"/>
      <c r="H53" s="3"/>
    </row>
    <row r="54" spans="1:8">
      <c r="A54" s="502" t="s">
        <v>2866</v>
      </c>
      <c r="B54" s="503">
        <v>2474.3375999999998</v>
      </c>
      <c r="C54" s="734">
        <v>3317.5769999999998</v>
      </c>
      <c r="D54" s="504">
        <v>2831.5319999999997</v>
      </c>
      <c r="F54" s="3"/>
      <c r="G54" s="3"/>
      <c r="H54" s="3"/>
    </row>
    <row r="55" spans="1:8">
      <c r="A55" s="502" t="s">
        <v>2867</v>
      </c>
      <c r="B55" s="503">
        <v>2491.86735</v>
      </c>
      <c r="C55" s="734">
        <v>3354.0540000000001</v>
      </c>
      <c r="D55" s="504">
        <v>2848.2269999999999</v>
      </c>
      <c r="F55" s="3"/>
      <c r="G55" s="3"/>
      <c r="H55" s="3"/>
    </row>
    <row r="56" spans="1:8">
      <c r="A56" s="502" t="s">
        <v>2868</v>
      </c>
      <c r="B56" s="503">
        <v>3081.0339000000004</v>
      </c>
      <c r="C56" s="734">
        <v>3926.1270000000004</v>
      </c>
      <c r="D56" s="504">
        <v>3409.3379999999997</v>
      </c>
      <c r="F56" s="3"/>
      <c r="G56" s="3"/>
      <c r="H56" s="3"/>
    </row>
    <row r="57" spans="1:8">
      <c r="A57" s="502" t="s">
        <v>2869</v>
      </c>
      <c r="B57" s="503">
        <v>3711.9288000000006</v>
      </c>
      <c r="C57" s="734">
        <v>5409.4342500000002</v>
      </c>
      <c r="D57" s="504">
        <v>3954.9532499999996</v>
      </c>
      <c r="F57" s="3"/>
      <c r="G57" s="3"/>
      <c r="H57" s="3"/>
    </row>
    <row r="58" spans="1:8">
      <c r="A58" s="502" t="s">
        <v>2870</v>
      </c>
      <c r="B58" s="503">
        <v>6691.08</v>
      </c>
      <c r="C58" s="734">
        <v>9679.9274999999998</v>
      </c>
      <c r="D58" s="504">
        <v>6747.9074999999993</v>
      </c>
      <c r="F58" s="3"/>
      <c r="G58" s="3"/>
      <c r="H58" s="3"/>
    </row>
    <row r="59" spans="1:8">
      <c r="A59" s="502" t="s">
        <v>2871</v>
      </c>
      <c r="B59" s="503">
        <v>2831.9445000000001</v>
      </c>
      <c r="C59" s="734">
        <v>3764.94</v>
      </c>
      <c r="D59" s="504">
        <v>3172.1099999999997</v>
      </c>
      <c r="F59" s="3"/>
      <c r="G59" s="3"/>
      <c r="H59" s="3"/>
    </row>
    <row r="60" spans="1:8">
      <c r="A60" s="502" t="s">
        <v>2872</v>
      </c>
      <c r="B60" s="503">
        <v>2852.4793500000001</v>
      </c>
      <c r="C60" s="734">
        <v>3793.3169999999996</v>
      </c>
      <c r="D60" s="504">
        <v>3191.6669999999995</v>
      </c>
      <c r="F60" s="3"/>
      <c r="G60" s="3"/>
      <c r="H60" s="3"/>
    </row>
  </sheetData>
  <mergeCells count="4">
    <mergeCell ref="A1:D1"/>
    <mergeCell ref="A31:D32"/>
    <mergeCell ref="E1:F1"/>
    <mergeCell ref="G1:H1"/>
  </mergeCells>
  <hyperlinks>
    <hyperlink ref="E1" location="ГЛАВНАЯ!A1" display="На главную" xr:uid="{00000000-0004-0000-1900-000000000000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59"/>
  <sheetViews>
    <sheetView workbookViewId="0">
      <selection sqref="A1:F1"/>
    </sheetView>
  </sheetViews>
  <sheetFormatPr defaultRowHeight="14.3"/>
  <cols>
    <col min="1" max="1" width="25.125" style="498" bestFit="1" customWidth="1"/>
    <col min="2" max="2" width="18.875" style="498" bestFit="1" customWidth="1"/>
    <col min="3" max="3" width="20.375" style="498" customWidth="1"/>
    <col min="4" max="4" width="19.75" style="498" customWidth="1"/>
    <col min="5" max="5" width="12.625" style="498" customWidth="1"/>
    <col min="6" max="6" width="12.375" style="498" customWidth="1"/>
    <col min="10" max="10" width="17.625" customWidth="1"/>
  </cols>
  <sheetData>
    <row r="1" spans="1:10" ht="20.25" customHeight="1" thickBot="1">
      <c r="A1" s="939" t="s">
        <v>2888</v>
      </c>
      <c r="B1" s="940"/>
      <c r="C1" s="940"/>
      <c r="D1" s="940"/>
      <c r="E1" s="940"/>
      <c r="F1" s="971"/>
      <c r="G1" s="960" t="s">
        <v>2304</v>
      </c>
      <c r="H1" s="961"/>
      <c r="I1" s="962" t="s">
        <v>3304</v>
      </c>
      <c r="J1" s="963"/>
    </row>
    <row r="2" spans="1:10" ht="19.7" thickBot="1">
      <c r="A2" s="972" t="s">
        <v>2</v>
      </c>
      <c r="B2" s="939" t="s">
        <v>2889</v>
      </c>
      <c r="C2" s="940"/>
      <c r="D2" s="940"/>
      <c r="E2" s="972" t="s">
        <v>2890</v>
      </c>
      <c r="F2" s="972" t="s">
        <v>2891</v>
      </c>
      <c r="G2" s="964"/>
      <c r="H2" s="965"/>
      <c r="I2" s="966"/>
      <c r="J2" s="967"/>
    </row>
    <row r="3" spans="1:10" ht="19.7" thickBot="1">
      <c r="A3" s="973"/>
      <c r="B3" s="526" t="s">
        <v>2892</v>
      </c>
      <c r="C3" s="527" t="s">
        <v>2893</v>
      </c>
      <c r="D3" s="528" t="s">
        <v>2894</v>
      </c>
      <c r="E3" s="973"/>
      <c r="F3" s="973"/>
    </row>
    <row r="4" spans="1:10" ht="16.3">
      <c r="A4" s="522" t="s">
        <v>2895</v>
      </c>
      <c r="B4" s="523">
        <v>395</v>
      </c>
      <c r="C4" s="523">
        <v>310</v>
      </c>
      <c r="D4" s="523">
        <v>150</v>
      </c>
      <c r="E4" s="524">
        <v>847.5</v>
      </c>
      <c r="F4" s="525">
        <v>695</v>
      </c>
    </row>
    <row r="5" spans="1:10" ht="16.3">
      <c r="A5" s="506" t="s">
        <v>2896</v>
      </c>
      <c r="B5" s="489">
        <v>500</v>
      </c>
      <c r="C5" s="489">
        <v>400</v>
      </c>
      <c r="D5" s="489">
        <v>150</v>
      </c>
      <c r="E5" s="507">
        <v>1187.5</v>
      </c>
      <c r="F5" s="490">
        <v>955</v>
      </c>
    </row>
    <row r="6" spans="1:10" ht="16.3">
      <c r="A6" s="506" t="s">
        <v>2897</v>
      </c>
      <c r="B6" s="489">
        <v>650</v>
      </c>
      <c r="C6" s="489">
        <v>500</v>
      </c>
      <c r="D6" s="489">
        <v>150</v>
      </c>
      <c r="E6" s="507">
        <v>1710</v>
      </c>
      <c r="F6" s="490">
        <v>1360</v>
      </c>
    </row>
    <row r="7" spans="1:10" ht="16.3">
      <c r="A7" s="506" t="s">
        <v>2898</v>
      </c>
      <c r="B7" s="489">
        <v>395</v>
      </c>
      <c r="C7" s="489">
        <v>310</v>
      </c>
      <c r="D7" s="489">
        <v>220</v>
      </c>
      <c r="E7" s="507">
        <v>970</v>
      </c>
      <c r="F7" s="490">
        <v>788.75</v>
      </c>
    </row>
    <row r="8" spans="1:10" ht="16.3">
      <c r="A8" s="506" t="s">
        <v>2899</v>
      </c>
      <c r="B8" s="489">
        <v>500</v>
      </c>
      <c r="C8" s="489">
        <v>400</v>
      </c>
      <c r="D8" s="489">
        <v>220</v>
      </c>
      <c r="E8" s="507">
        <v>1343.75</v>
      </c>
      <c r="F8" s="490">
        <v>1078.75</v>
      </c>
    </row>
    <row r="9" spans="1:10" ht="16.3">
      <c r="A9" s="506" t="s">
        <v>2900</v>
      </c>
      <c r="B9" s="489">
        <v>650</v>
      </c>
      <c r="C9" s="489">
        <v>500</v>
      </c>
      <c r="D9" s="489">
        <v>220</v>
      </c>
      <c r="E9" s="507">
        <v>1910</v>
      </c>
      <c r="F9" s="490">
        <v>1517.5</v>
      </c>
    </row>
    <row r="10" spans="1:10" ht="16.3">
      <c r="A10" s="506" t="s">
        <v>2901</v>
      </c>
      <c r="B10" s="489">
        <v>800</v>
      </c>
      <c r="C10" s="489">
        <v>650</v>
      </c>
      <c r="D10" s="489">
        <v>250</v>
      </c>
      <c r="E10" s="507">
        <v>2938.75</v>
      </c>
      <c r="F10" s="490">
        <v>2327.5</v>
      </c>
    </row>
    <row r="11" spans="1:10" ht="16.3">
      <c r="A11" s="506" t="s">
        <v>2902</v>
      </c>
      <c r="B11" s="489">
        <v>1000</v>
      </c>
      <c r="C11" s="489">
        <v>650</v>
      </c>
      <c r="D11" s="489">
        <v>300</v>
      </c>
      <c r="E11" s="507">
        <v>3682.5</v>
      </c>
      <c r="F11" s="490">
        <v>2908.75</v>
      </c>
    </row>
    <row r="12" spans="1:10" ht="16.3">
      <c r="A12" s="506" t="s">
        <v>2903</v>
      </c>
      <c r="B12" s="489">
        <v>1200</v>
      </c>
      <c r="C12" s="489">
        <v>750</v>
      </c>
      <c r="D12" s="489">
        <v>300</v>
      </c>
      <c r="E12" s="507">
        <v>4798.75</v>
      </c>
      <c r="F12" s="490">
        <v>3768.75</v>
      </c>
    </row>
    <row r="13" spans="1:10" ht="16.3">
      <c r="A13" s="506" t="s">
        <v>2904</v>
      </c>
      <c r="B13" s="489">
        <v>1320</v>
      </c>
      <c r="C13" s="489">
        <v>750</v>
      </c>
      <c r="D13" s="489">
        <v>300</v>
      </c>
      <c r="E13" s="507">
        <v>5211.25</v>
      </c>
      <c r="F13" s="490">
        <v>4087.5</v>
      </c>
    </row>
    <row r="14" spans="1:10" ht="16.3">
      <c r="A14" s="506" t="s">
        <v>2905</v>
      </c>
      <c r="B14" s="489">
        <v>250</v>
      </c>
      <c r="C14" s="489">
        <v>300</v>
      </c>
      <c r="D14" s="489">
        <v>150</v>
      </c>
      <c r="E14" s="507">
        <v>621.25</v>
      </c>
      <c r="F14" s="490">
        <v>516.25</v>
      </c>
    </row>
    <row r="15" spans="1:10" ht="16.3">
      <c r="A15" s="506" t="s">
        <v>2906</v>
      </c>
      <c r="B15" s="489">
        <v>300</v>
      </c>
      <c r="C15" s="489">
        <v>210</v>
      </c>
      <c r="D15" s="489">
        <v>150</v>
      </c>
      <c r="E15" s="507">
        <v>563.75</v>
      </c>
      <c r="F15" s="490">
        <v>471.25</v>
      </c>
    </row>
    <row r="16" spans="1:10" ht="16.3">
      <c r="A16" s="506" t="s">
        <v>2907</v>
      </c>
      <c r="B16" s="489">
        <v>400</v>
      </c>
      <c r="C16" s="489">
        <v>210</v>
      </c>
      <c r="D16" s="489">
        <v>150</v>
      </c>
      <c r="E16" s="507">
        <v>675</v>
      </c>
      <c r="F16" s="490">
        <v>558.75</v>
      </c>
    </row>
    <row r="17" spans="1:6" ht="16.3">
      <c r="A17" s="506" t="s">
        <v>2908</v>
      </c>
      <c r="B17" s="489">
        <v>400</v>
      </c>
      <c r="C17" s="489">
        <v>400</v>
      </c>
      <c r="D17" s="489">
        <v>150</v>
      </c>
      <c r="E17" s="507">
        <v>1008.75</v>
      </c>
      <c r="F17" s="490">
        <v>817.5</v>
      </c>
    </row>
    <row r="18" spans="1:6" ht="16.3">
      <c r="A18" s="506" t="s">
        <v>2909</v>
      </c>
      <c r="B18" s="489">
        <v>400</v>
      </c>
      <c r="C18" s="489">
        <v>400</v>
      </c>
      <c r="D18" s="489">
        <v>250</v>
      </c>
      <c r="E18" s="507">
        <v>1207.5</v>
      </c>
      <c r="F18" s="490">
        <v>975</v>
      </c>
    </row>
    <row r="19" spans="1:6" ht="16.3">
      <c r="A19" s="506" t="s">
        <v>2910</v>
      </c>
      <c r="B19" s="489">
        <v>400</v>
      </c>
      <c r="C19" s="489">
        <v>600</v>
      </c>
      <c r="D19" s="489">
        <v>150</v>
      </c>
      <c r="E19" s="507">
        <v>1360</v>
      </c>
      <c r="F19" s="490">
        <v>1090</v>
      </c>
    </row>
    <row r="20" spans="1:6" ht="16.3">
      <c r="A20" s="506" t="s">
        <v>2911</v>
      </c>
      <c r="B20" s="489">
        <v>400</v>
      </c>
      <c r="C20" s="489">
        <v>600</v>
      </c>
      <c r="D20" s="489">
        <v>250</v>
      </c>
      <c r="E20" s="507">
        <v>1608.75</v>
      </c>
      <c r="F20" s="490">
        <v>1286.25</v>
      </c>
    </row>
    <row r="21" spans="1:6" ht="16.3">
      <c r="A21" s="506" t="s">
        <v>2912</v>
      </c>
      <c r="B21" s="489">
        <v>600</v>
      </c>
      <c r="C21" s="489">
        <v>600</v>
      </c>
      <c r="D21" s="489">
        <v>150</v>
      </c>
      <c r="E21" s="507">
        <v>1843.75</v>
      </c>
      <c r="F21" s="490">
        <v>1462.5</v>
      </c>
    </row>
    <row r="22" spans="1:6" ht="16.3">
      <c r="A22" s="508" t="s">
        <v>2913</v>
      </c>
      <c r="B22" s="509">
        <v>600</v>
      </c>
      <c r="C22" s="509">
        <v>600</v>
      </c>
      <c r="D22" s="509">
        <v>250</v>
      </c>
      <c r="E22" s="507">
        <v>2141.25</v>
      </c>
      <c r="F22" s="490">
        <v>1698.75</v>
      </c>
    </row>
    <row r="23" spans="1:6" ht="17" thickBot="1">
      <c r="A23" s="968" t="s">
        <v>2914</v>
      </c>
      <c r="B23" s="969"/>
      <c r="C23" s="969"/>
      <c r="D23" s="969"/>
      <c r="E23" s="969"/>
      <c r="F23" s="970"/>
    </row>
    <row r="24" spans="1:6" ht="16.3">
      <c r="A24" s="506" t="s">
        <v>2895</v>
      </c>
      <c r="B24" s="506">
        <v>395</v>
      </c>
      <c r="C24" s="506">
        <v>310</v>
      </c>
      <c r="D24" s="506">
        <v>150</v>
      </c>
      <c r="E24" s="510">
        <v>1170</v>
      </c>
      <c r="F24" s="510">
        <v>1017.5</v>
      </c>
    </row>
    <row r="25" spans="1:6" ht="16.3">
      <c r="A25" s="506" t="s">
        <v>2896</v>
      </c>
      <c r="B25" s="506">
        <v>500</v>
      </c>
      <c r="C25" s="506">
        <v>400</v>
      </c>
      <c r="D25" s="506">
        <v>150</v>
      </c>
      <c r="E25" s="510">
        <v>1585</v>
      </c>
      <c r="F25" s="510">
        <v>1351.25</v>
      </c>
    </row>
    <row r="26" spans="1:6" ht="16.3">
      <c r="A26" s="506" t="s">
        <v>2897</v>
      </c>
      <c r="B26" s="506">
        <v>650</v>
      </c>
      <c r="C26" s="506">
        <v>500</v>
      </c>
      <c r="D26" s="506">
        <v>150</v>
      </c>
      <c r="E26" s="510">
        <v>2173.75</v>
      </c>
      <c r="F26" s="510">
        <v>1820</v>
      </c>
    </row>
    <row r="27" spans="1:6" ht="16.3">
      <c r="A27" s="506" t="s">
        <v>2898</v>
      </c>
      <c r="B27" s="506">
        <v>395</v>
      </c>
      <c r="C27" s="506">
        <v>310</v>
      </c>
      <c r="D27" s="506">
        <v>220</v>
      </c>
      <c r="E27" s="510">
        <v>1285</v>
      </c>
      <c r="F27" s="510">
        <v>1108.75</v>
      </c>
    </row>
    <row r="28" spans="1:6" ht="16.3">
      <c r="A28" s="506" t="s">
        <v>2899</v>
      </c>
      <c r="B28" s="506">
        <v>500</v>
      </c>
      <c r="C28" s="506">
        <v>400</v>
      </c>
      <c r="D28" s="506">
        <v>220</v>
      </c>
      <c r="E28" s="510">
        <v>1742.5</v>
      </c>
      <c r="F28" s="510">
        <v>1475</v>
      </c>
    </row>
    <row r="29" spans="1:6" ht="16.3">
      <c r="A29" s="506" t="s">
        <v>2900</v>
      </c>
      <c r="B29" s="506">
        <v>650</v>
      </c>
      <c r="C29" s="506">
        <v>500</v>
      </c>
      <c r="D29" s="506">
        <v>220</v>
      </c>
      <c r="E29" s="510">
        <v>2373.75</v>
      </c>
      <c r="F29" s="510">
        <v>1978.75</v>
      </c>
    </row>
    <row r="30" spans="1:6" ht="16.3">
      <c r="A30" s="506" t="s">
        <v>2901</v>
      </c>
      <c r="B30" s="506">
        <v>800</v>
      </c>
      <c r="C30" s="506">
        <v>650</v>
      </c>
      <c r="D30" s="506">
        <v>250</v>
      </c>
      <c r="E30" s="510">
        <v>3545</v>
      </c>
      <c r="F30" s="510">
        <v>2938.75</v>
      </c>
    </row>
    <row r="31" spans="1:6" ht="16.3">
      <c r="A31" s="506" t="s">
        <v>2902</v>
      </c>
      <c r="B31" s="506">
        <v>1000</v>
      </c>
      <c r="C31" s="506">
        <v>650</v>
      </c>
      <c r="D31" s="506">
        <v>300</v>
      </c>
      <c r="E31" s="510">
        <v>4371.25</v>
      </c>
      <c r="F31" s="510">
        <v>3593.75</v>
      </c>
    </row>
    <row r="32" spans="1:6" ht="16.3">
      <c r="A32" s="506" t="s">
        <v>2903</v>
      </c>
      <c r="B32" s="506">
        <v>1200</v>
      </c>
      <c r="C32" s="506">
        <v>750</v>
      </c>
      <c r="D32" s="506">
        <v>300</v>
      </c>
      <c r="E32" s="510">
        <v>5523.75</v>
      </c>
      <c r="F32" s="510">
        <v>4501.25</v>
      </c>
    </row>
    <row r="33" spans="1:6" ht="16.3">
      <c r="A33" s="506" t="s">
        <v>2904</v>
      </c>
      <c r="B33" s="506">
        <v>1320</v>
      </c>
      <c r="C33" s="506">
        <v>750</v>
      </c>
      <c r="D33" s="506">
        <v>300</v>
      </c>
      <c r="E33" s="510">
        <v>5946.25</v>
      </c>
      <c r="F33" s="510">
        <v>4835</v>
      </c>
    </row>
    <row r="34" spans="1:6" ht="16.3">
      <c r="A34" s="506" t="s">
        <v>2905</v>
      </c>
      <c r="B34" s="506">
        <v>250</v>
      </c>
      <c r="C34" s="506">
        <v>300</v>
      </c>
      <c r="D34" s="506">
        <v>150</v>
      </c>
      <c r="E34" s="510">
        <v>976.25</v>
      </c>
      <c r="F34" s="510">
        <v>860</v>
      </c>
    </row>
    <row r="35" spans="1:6" ht="16.3">
      <c r="A35" s="506" t="s">
        <v>2906</v>
      </c>
      <c r="B35" s="506">
        <v>300</v>
      </c>
      <c r="C35" s="506">
        <v>210</v>
      </c>
      <c r="D35" s="506">
        <v>150</v>
      </c>
      <c r="E35" s="510">
        <v>860</v>
      </c>
      <c r="F35" s="510">
        <v>766.25</v>
      </c>
    </row>
    <row r="36" spans="1:6" ht="16.3">
      <c r="A36" s="506" t="s">
        <v>2907</v>
      </c>
      <c r="B36" s="506">
        <v>400</v>
      </c>
      <c r="C36" s="506">
        <v>210</v>
      </c>
      <c r="D36" s="506">
        <v>150</v>
      </c>
      <c r="E36" s="510">
        <v>998.75</v>
      </c>
      <c r="F36" s="510">
        <v>880</v>
      </c>
    </row>
    <row r="37" spans="1:6" ht="16.3">
      <c r="A37" s="506" t="s">
        <v>2908</v>
      </c>
      <c r="B37" s="506">
        <v>400</v>
      </c>
      <c r="C37" s="506">
        <v>400</v>
      </c>
      <c r="D37" s="506">
        <v>150</v>
      </c>
      <c r="E37" s="510">
        <v>1382.5</v>
      </c>
      <c r="F37" s="510">
        <v>1188.75</v>
      </c>
    </row>
    <row r="38" spans="1:6" ht="16.3">
      <c r="A38" s="506" t="s">
        <v>2909</v>
      </c>
      <c r="B38" s="506">
        <v>400</v>
      </c>
      <c r="C38" s="506">
        <v>400</v>
      </c>
      <c r="D38" s="506">
        <v>250</v>
      </c>
      <c r="E38" s="510">
        <v>1581.25</v>
      </c>
      <c r="F38" s="510">
        <v>1346.25</v>
      </c>
    </row>
    <row r="39" spans="1:6" ht="16.3">
      <c r="A39" s="506" t="s">
        <v>2910</v>
      </c>
      <c r="B39" s="506">
        <v>400</v>
      </c>
      <c r="C39" s="506">
        <v>600</v>
      </c>
      <c r="D39" s="506">
        <v>150</v>
      </c>
      <c r="E39" s="510">
        <v>1783.75</v>
      </c>
      <c r="F39" s="510">
        <v>1510</v>
      </c>
    </row>
    <row r="40" spans="1:6" ht="16.3">
      <c r="A40" s="506" t="s">
        <v>2911</v>
      </c>
      <c r="B40" s="506">
        <v>400</v>
      </c>
      <c r="C40" s="506">
        <v>600</v>
      </c>
      <c r="D40" s="506">
        <v>250</v>
      </c>
      <c r="E40" s="510">
        <v>2032.5</v>
      </c>
      <c r="F40" s="510">
        <v>1706.25</v>
      </c>
    </row>
    <row r="41" spans="1:6" ht="16.3">
      <c r="A41" s="506" t="s">
        <v>2912</v>
      </c>
      <c r="B41" s="506">
        <v>600</v>
      </c>
      <c r="C41" s="506">
        <v>600</v>
      </c>
      <c r="D41" s="506">
        <v>150</v>
      </c>
      <c r="E41" s="510">
        <v>2322.5</v>
      </c>
      <c r="F41" s="510">
        <v>1937.5</v>
      </c>
    </row>
    <row r="42" spans="1:6" ht="16.3">
      <c r="A42" s="506" t="s">
        <v>2913</v>
      </c>
      <c r="B42" s="506">
        <v>600</v>
      </c>
      <c r="C42" s="506">
        <v>600</v>
      </c>
      <c r="D42" s="506">
        <v>250</v>
      </c>
      <c r="E42" s="510">
        <v>2620</v>
      </c>
      <c r="F42" s="510">
        <v>2173.75</v>
      </c>
    </row>
    <row r="43" spans="1:6" ht="15.8" customHeight="1" thickBot="1">
      <c r="A43" s="977" t="s">
        <v>2914</v>
      </c>
      <c r="B43" s="978"/>
      <c r="C43" s="978"/>
      <c r="D43" s="978"/>
      <c r="E43" s="978"/>
      <c r="F43" s="979"/>
    </row>
    <row r="44" spans="1:6" ht="21.75" customHeight="1" thickBot="1">
      <c r="A44" s="939" t="s">
        <v>2921</v>
      </c>
      <c r="B44" s="940"/>
      <c r="C44" s="940"/>
      <c r="D44" s="940"/>
      <c r="E44" s="971"/>
    </row>
    <row r="45" spans="1:6" ht="18.7" customHeight="1" thickBot="1">
      <c r="A45" s="972" t="s">
        <v>2</v>
      </c>
      <c r="B45" s="940" t="s">
        <v>2889</v>
      </c>
      <c r="C45" s="940"/>
      <c r="D45" s="971"/>
      <c r="E45" s="980" t="s">
        <v>2890</v>
      </c>
    </row>
    <row r="46" spans="1:6" ht="19.7" thickBot="1">
      <c r="A46" s="973"/>
      <c r="B46" s="516" t="s">
        <v>2830</v>
      </c>
      <c r="C46" s="517" t="s">
        <v>2831</v>
      </c>
      <c r="D46" s="517" t="s">
        <v>2832</v>
      </c>
      <c r="E46" s="981"/>
    </row>
    <row r="47" spans="1:6" ht="32.6">
      <c r="A47" s="511" t="s">
        <v>2915</v>
      </c>
      <c r="B47" s="511">
        <v>2200</v>
      </c>
      <c r="C47" s="511">
        <v>1000</v>
      </c>
      <c r="D47" s="511">
        <v>600</v>
      </c>
      <c r="E47" s="512">
        <v>13312.5</v>
      </c>
    </row>
    <row r="48" spans="1:6" ht="32.6">
      <c r="A48" s="506" t="s">
        <v>2916</v>
      </c>
      <c r="B48" s="506">
        <v>2200</v>
      </c>
      <c r="C48" s="506">
        <v>800</v>
      </c>
      <c r="D48" s="506">
        <v>600</v>
      </c>
      <c r="E48" s="513">
        <v>12125</v>
      </c>
    </row>
    <row r="49" spans="1:5" ht="32.6">
      <c r="A49" s="506" t="s">
        <v>2917</v>
      </c>
      <c r="B49" s="506">
        <v>2200</v>
      </c>
      <c r="C49" s="506">
        <v>600</v>
      </c>
      <c r="D49" s="506">
        <v>600</v>
      </c>
      <c r="E49" s="513">
        <v>10600</v>
      </c>
    </row>
    <row r="50" spans="1:5" ht="32.6">
      <c r="A50" s="506" t="s">
        <v>2918</v>
      </c>
      <c r="B50" s="506">
        <v>2200</v>
      </c>
      <c r="C50" s="506">
        <v>400</v>
      </c>
      <c r="D50" s="506">
        <v>600</v>
      </c>
      <c r="E50" s="513">
        <v>7375</v>
      </c>
    </row>
    <row r="51" spans="1:5" ht="32.6">
      <c r="A51" s="506" t="s">
        <v>2919</v>
      </c>
      <c r="B51" s="506">
        <v>2200</v>
      </c>
      <c r="C51" s="506">
        <v>300</v>
      </c>
      <c r="D51" s="506">
        <v>600</v>
      </c>
      <c r="E51" s="513">
        <v>6937.5</v>
      </c>
    </row>
    <row r="52" spans="1:5" ht="25.5" customHeight="1" thickBot="1">
      <c r="A52" s="514" t="s">
        <v>2920</v>
      </c>
      <c r="B52" s="514">
        <v>2200</v>
      </c>
      <c r="C52" s="514"/>
      <c r="D52" s="514">
        <v>600</v>
      </c>
      <c r="E52" s="515">
        <v>2750</v>
      </c>
    </row>
    <row r="53" spans="1:5" ht="17" thickBot="1">
      <c r="A53" s="974" t="s">
        <v>2914</v>
      </c>
      <c r="B53" s="975"/>
      <c r="C53" s="975"/>
      <c r="D53" s="975"/>
      <c r="E53" s="976"/>
    </row>
    <row r="54" spans="1:5" ht="41.3" customHeight="1">
      <c r="A54" s="511" t="s">
        <v>2922</v>
      </c>
      <c r="B54" s="511">
        <v>1700</v>
      </c>
      <c r="C54" s="511">
        <v>800</v>
      </c>
      <c r="D54" s="511">
        <v>450</v>
      </c>
      <c r="E54" s="512">
        <v>8162.5</v>
      </c>
    </row>
    <row r="55" spans="1:5" ht="41.3" customHeight="1">
      <c r="A55" s="506" t="s">
        <v>2922</v>
      </c>
      <c r="B55" s="506">
        <v>1600</v>
      </c>
      <c r="C55" s="506">
        <v>800</v>
      </c>
      <c r="D55" s="506">
        <v>450</v>
      </c>
      <c r="E55" s="513">
        <v>7787.5</v>
      </c>
    </row>
    <row r="56" spans="1:5" ht="36.700000000000003" customHeight="1">
      <c r="A56" s="506" t="s">
        <v>2922</v>
      </c>
      <c r="B56" s="506">
        <v>1400</v>
      </c>
      <c r="C56" s="506">
        <v>800</v>
      </c>
      <c r="D56" s="506">
        <v>450</v>
      </c>
      <c r="E56" s="513">
        <v>7037.5</v>
      </c>
    </row>
    <row r="57" spans="1:5" ht="34.5" customHeight="1">
      <c r="A57" s="506" t="s">
        <v>2922</v>
      </c>
      <c r="B57" s="506">
        <v>1700</v>
      </c>
      <c r="C57" s="506">
        <v>600</v>
      </c>
      <c r="D57" s="506">
        <v>450</v>
      </c>
      <c r="E57" s="513">
        <v>6925</v>
      </c>
    </row>
    <row r="58" spans="1:5" ht="33.799999999999997" customHeight="1" thickBot="1">
      <c r="A58" s="514" t="s">
        <v>2922</v>
      </c>
      <c r="B58" s="514">
        <v>1700</v>
      </c>
      <c r="C58" s="514">
        <v>450</v>
      </c>
      <c r="D58" s="514">
        <v>450</v>
      </c>
      <c r="E58" s="515">
        <v>5975</v>
      </c>
    </row>
    <row r="59" spans="1:5" ht="17" thickBot="1">
      <c r="A59" s="974" t="s">
        <v>2914</v>
      </c>
      <c r="B59" s="975"/>
      <c r="C59" s="975"/>
      <c r="D59" s="975"/>
      <c r="E59" s="976"/>
    </row>
  </sheetData>
  <mergeCells count="15">
    <mergeCell ref="A59:E59"/>
    <mergeCell ref="A53:E53"/>
    <mergeCell ref="A43:F43"/>
    <mergeCell ref="A44:E44"/>
    <mergeCell ref="A45:A46"/>
    <mergeCell ref="B45:D45"/>
    <mergeCell ref="E45:E46"/>
    <mergeCell ref="G1:H2"/>
    <mergeCell ref="I1:J2"/>
    <mergeCell ref="A23:F23"/>
    <mergeCell ref="A1:F1"/>
    <mergeCell ref="A2:A3"/>
    <mergeCell ref="B2:D2"/>
    <mergeCell ref="E2:E3"/>
    <mergeCell ref="F2:F3"/>
  </mergeCells>
  <hyperlinks>
    <hyperlink ref="G1" location="ГЛАВНАЯ!A1" display="На главную" xr:uid="{00000000-0004-0000-1A00-000000000000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1"/>
  <dimension ref="A1:E42"/>
  <sheetViews>
    <sheetView zoomScale="115" zoomScaleNormal="115" workbookViewId="0">
      <pane xSplit="4" ySplit="1" topLeftCell="E2" activePane="bottomRight" state="frozen"/>
      <selection pane="topRight" activeCell="E1" sqref="E1"/>
      <selection pane="bottomLeft" activeCell="A5" sqref="A5"/>
      <selection pane="bottomRight" activeCell="J17" sqref="J17"/>
    </sheetView>
  </sheetViews>
  <sheetFormatPr defaultRowHeight="14.3"/>
  <cols>
    <col min="1" max="1" width="33.625" customWidth="1"/>
    <col min="2" max="2" width="7.75" style="5" customWidth="1"/>
    <col min="4" max="4" width="8.375" customWidth="1"/>
  </cols>
  <sheetData>
    <row r="1" spans="1:5" ht="19.55" customHeight="1">
      <c r="A1" s="11" t="s">
        <v>2</v>
      </c>
      <c r="B1" s="153"/>
      <c r="C1" s="984"/>
      <c r="D1" s="984"/>
      <c r="E1" s="30" t="s">
        <v>740</v>
      </c>
    </row>
    <row r="2" spans="1:5" ht="13.6" customHeight="1">
      <c r="A2" s="982" t="s">
        <v>30</v>
      </c>
      <c r="B2" s="983"/>
      <c r="C2" s="15"/>
      <c r="D2" s="15"/>
    </row>
    <row r="3" spans="1:5">
      <c r="A3" s="54" t="s">
        <v>982</v>
      </c>
      <c r="B3" s="8"/>
      <c r="C3" s="15"/>
      <c r="D3" s="15"/>
    </row>
    <row r="4" spans="1:5">
      <c r="A4" s="982" t="s">
        <v>31</v>
      </c>
      <c r="B4" s="983"/>
      <c r="C4" s="15"/>
      <c r="D4" s="15"/>
    </row>
    <row r="5" spans="1:5">
      <c r="A5" s="22" t="s">
        <v>32</v>
      </c>
      <c r="B5" s="8"/>
      <c r="C5" s="15"/>
      <c r="D5" s="15"/>
    </row>
    <row r="6" spans="1:5">
      <c r="A6" s="22" t="s">
        <v>33</v>
      </c>
      <c r="B6" s="8"/>
      <c r="C6" s="15"/>
      <c r="D6" s="15"/>
    </row>
    <row r="7" spans="1:5">
      <c r="A7" s="982" t="s">
        <v>34</v>
      </c>
      <c r="B7" s="983"/>
      <c r="C7" s="15"/>
      <c r="D7" s="15"/>
    </row>
    <row r="8" spans="1:5">
      <c r="A8" s="22" t="s">
        <v>35</v>
      </c>
      <c r="B8" s="8"/>
      <c r="C8" s="15"/>
      <c r="D8" s="15"/>
    </row>
    <row r="9" spans="1:5">
      <c r="A9" s="22" t="s">
        <v>41</v>
      </c>
      <c r="B9" s="25"/>
      <c r="C9" s="15"/>
      <c r="D9" s="15"/>
    </row>
    <row r="10" spans="1:5">
      <c r="A10" s="22" t="s">
        <v>36</v>
      </c>
      <c r="B10" s="8"/>
      <c r="C10" s="15"/>
      <c r="D10" s="15"/>
    </row>
    <row r="11" spans="1:5">
      <c r="A11" s="22" t="s">
        <v>37</v>
      </c>
      <c r="B11" s="8"/>
      <c r="C11" s="15"/>
      <c r="D11" s="15"/>
    </row>
    <row r="12" spans="1:5">
      <c r="A12" s="982" t="s">
        <v>38</v>
      </c>
      <c r="B12" s="983"/>
      <c r="C12" s="15"/>
      <c r="D12" s="15"/>
    </row>
    <row r="13" spans="1:5">
      <c r="A13" s="22" t="s">
        <v>39</v>
      </c>
      <c r="B13" s="8"/>
      <c r="C13" s="15"/>
      <c r="D13" s="15"/>
    </row>
    <row r="14" spans="1:5">
      <c r="A14" s="22" t="s">
        <v>719</v>
      </c>
      <c r="B14" s="8"/>
      <c r="C14" s="15"/>
      <c r="D14" s="15"/>
    </row>
    <row r="15" spans="1:5">
      <c r="A15" s="22" t="s">
        <v>40</v>
      </c>
      <c r="B15" s="8"/>
      <c r="C15" s="15"/>
      <c r="D15" s="15"/>
    </row>
    <row r="16" spans="1:5">
      <c r="A16" s="22" t="s">
        <v>717</v>
      </c>
      <c r="B16" s="8"/>
      <c r="C16" s="15"/>
      <c r="D16" s="15"/>
    </row>
    <row r="17" spans="1:4">
      <c r="A17" s="22" t="s">
        <v>42</v>
      </c>
      <c r="B17" s="8"/>
      <c r="C17" s="15"/>
      <c r="D17" s="15"/>
    </row>
    <row r="18" spans="1:4">
      <c r="A18" s="22" t="s">
        <v>718</v>
      </c>
      <c r="B18" s="8"/>
      <c r="C18" s="15"/>
      <c r="D18" s="15"/>
    </row>
    <row r="19" spans="1:4">
      <c r="A19" s="982" t="s">
        <v>49</v>
      </c>
      <c r="B19" s="983"/>
      <c r="C19" s="15"/>
      <c r="D19" s="15"/>
    </row>
    <row r="20" spans="1:4">
      <c r="A20" s="22" t="s">
        <v>50</v>
      </c>
      <c r="B20" s="8"/>
      <c r="C20" s="15"/>
      <c r="D20" s="15"/>
    </row>
    <row r="21" spans="1:4">
      <c r="A21" s="22" t="s">
        <v>51</v>
      </c>
      <c r="B21" s="8"/>
      <c r="C21" s="15"/>
      <c r="D21" s="15"/>
    </row>
    <row r="22" spans="1:4">
      <c r="A22" s="22" t="s">
        <v>52</v>
      </c>
      <c r="B22" s="8"/>
      <c r="C22" s="15"/>
      <c r="D22" s="15"/>
    </row>
    <row r="23" spans="1:4">
      <c r="A23" s="22" t="s">
        <v>53</v>
      </c>
      <c r="B23" s="8"/>
      <c r="C23" s="15"/>
      <c r="D23" s="15"/>
    </row>
    <row r="24" spans="1:4">
      <c r="A24" s="22" t="s">
        <v>54</v>
      </c>
      <c r="B24" s="8"/>
      <c r="C24" s="15"/>
      <c r="D24" s="15"/>
    </row>
    <row r="25" spans="1:4">
      <c r="A25" s="22" t="s">
        <v>55</v>
      </c>
      <c r="B25" s="8"/>
      <c r="C25" s="15"/>
      <c r="D25" s="15"/>
    </row>
    <row r="26" spans="1:4">
      <c r="A26" s="982" t="s">
        <v>23</v>
      </c>
      <c r="B26" s="983"/>
      <c r="C26" s="15"/>
      <c r="D26" s="15"/>
    </row>
    <row r="27" spans="1:4">
      <c r="A27" s="22" t="s">
        <v>24</v>
      </c>
      <c r="B27" s="8"/>
      <c r="C27" s="15"/>
      <c r="D27" s="15"/>
    </row>
    <row r="28" spans="1:4">
      <c r="A28" s="22" t="s">
        <v>25</v>
      </c>
      <c r="B28" s="8"/>
      <c r="C28" s="15"/>
      <c r="D28" s="15"/>
    </row>
    <row r="29" spans="1:4">
      <c r="A29" s="22" t="s">
        <v>26</v>
      </c>
      <c r="B29" s="8"/>
      <c r="C29" s="15"/>
      <c r="D29" s="15"/>
    </row>
    <row r="30" spans="1:4">
      <c r="A30" s="22" t="s">
        <v>27</v>
      </c>
      <c r="B30" s="8"/>
      <c r="C30" s="15"/>
      <c r="D30" s="15"/>
    </row>
    <row r="31" spans="1:4">
      <c r="A31" s="22" t="s">
        <v>28</v>
      </c>
      <c r="B31" s="8"/>
      <c r="C31" s="15"/>
      <c r="D31" s="15"/>
    </row>
    <row r="32" spans="1:4">
      <c r="A32" s="22" t="s">
        <v>29</v>
      </c>
      <c r="B32" s="8"/>
      <c r="C32" s="15"/>
      <c r="D32" s="15"/>
    </row>
    <row r="33" spans="1:4">
      <c r="A33" s="982" t="s">
        <v>56</v>
      </c>
      <c r="B33" s="983"/>
      <c r="C33" s="15"/>
      <c r="D33" s="15"/>
    </row>
    <row r="34" spans="1:4">
      <c r="A34" s="22" t="s">
        <v>58</v>
      </c>
      <c r="B34" s="8"/>
      <c r="C34" s="15"/>
      <c r="D34" s="15"/>
    </row>
    <row r="35" spans="1:4">
      <c r="A35" s="22" t="s">
        <v>57</v>
      </c>
      <c r="B35" s="8"/>
      <c r="C35" s="15"/>
      <c r="D35" s="15"/>
    </row>
    <row r="36" spans="1:4">
      <c r="A36" s="22" t="s">
        <v>59</v>
      </c>
      <c r="B36" s="8"/>
      <c r="C36" s="15"/>
      <c r="D36" s="15"/>
    </row>
    <row r="37" spans="1:4">
      <c r="A37" s="982" t="s">
        <v>43</v>
      </c>
      <c r="B37" s="983"/>
      <c r="C37" s="15"/>
      <c r="D37" s="15"/>
    </row>
    <row r="38" spans="1:4">
      <c r="A38" s="22" t="s">
        <v>44</v>
      </c>
      <c r="B38" s="8"/>
      <c r="C38" s="15"/>
      <c r="D38" s="15"/>
    </row>
    <row r="39" spans="1:4">
      <c r="A39" s="22" t="s">
        <v>45</v>
      </c>
      <c r="B39" s="8"/>
      <c r="C39" s="15"/>
      <c r="D39" s="15"/>
    </row>
    <row r="40" spans="1:4">
      <c r="A40" s="982" t="s">
        <v>48</v>
      </c>
      <c r="B40" s="983"/>
      <c r="C40" s="15"/>
      <c r="D40" s="15"/>
    </row>
    <row r="41" spans="1:4">
      <c r="A41" s="22" t="s">
        <v>46</v>
      </c>
      <c r="B41" s="8">
        <v>13</v>
      </c>
      <c r="C41" s="15"/>
      <c r="D41" s="15"/>
    </row>
    <row r="42" spans="1:4">
      <c r="A42" s="22" t="s">
        <v>47</v>
      </c>
      <c r="B42" s="8"/>
      <c r="C42" s="15"/>
      <c r="D42" s="15"/>
    </row>
  </sheetData>
  <sheetProtection formatCells="0" formatColumns="0" formatRows="0" insertColumns="0" insertRows="0" insertHyperlinks="0" deleteColumns="0" deleteRows="0" sort="0" autoFilter="0" pivotTables="0"/>
  <mergeCells count="10">
    <mergeCell ref="A26:B26"/>
    <mergeCell ref="A33:B33"/>
    <mergeCell ref="A37:B37"/>
    <mergeCell ref="A40:B40"/>
    <mergeCell ref="C1:D1"/>
    <mergeCell ref="A2:B2"/>
    <mergeCell ref="A4:B4"/>
    <mergeCell ref="A7:B7"/>
    <mergeCell ref="A12:B12"/>
    <mergeCell ref="A19:B19"/>
  </mergeCells>
  <hyperlinks>
    <hyperlink ref="E1" location="ГЛАВНАЯ!A1" display="оглавление&gt;&gt;" xr:uid="{00000000-0004-0000-1B00-000000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DC6F8-6DAF-408C-B2ED-750C536D9C06}">
  <dimension ref="A1:Y213"/>
  <sheetViews>
    <sheetView zoomScale="85" zoomScaleNormal="85" workbookViewId="0">
      <pane xSplit="8" ySplit="2" topLeftCell="I3" activePane="bottomRight" state="frozen"/>
      <selection pane="topRight" activeCell="H1" sqref="H1"/>
      <selection pane="bottomLeft" activeCell="A3" sqref="A3"/>
      <selection pane="bottomRight" activeCell="Q11" sqref="Q11"/>
    </sheetView>
  </sheetViews>
  <sheetFormatPr defaultRowHeight="14.3"/>
  <cols>
    <col min="1" max="1" width="32.625" style="371" bestFit="1" customWidth="1"/>
    <col min="2" max="2" width="7" style="564" bestFit="1" customWidth="1"/>
    <col min="3" max="3" width="6" style="564" bestFit="1" customWidth="1"/>
    <col min="4" max="4" width="7.625" style="564" bestFit="1" customWidth="1"/>
    <col min="5" max="8" width="7.75" style="564" bestFit="1" customWidth="1"/>
    <col min="9" max="14" width="7.75" style="371" bestFit="1" customWidth="1"/>
    <col min="15" max="16" width="8.875" style="371" bestFit="1" customWidth="1"/>
    <col min="17" max="17" width="19.125" customWidth="1"/>
    <col min="18" max="18" width="17.75" customWidth="1"/>
    <col min="19" max="19" width="37.625" bestFit="1" customWidth="1"/>
    <col min="25" max="25" width="11" customWidth="1"/>
  </cols>
  <sheetData>
    <row r="1" spans="1:25" ht="37.549999999999997" customHeight="1" thickBot="1">
      <c r="A1" s="555" t="s">
        <v>2</v>
      </c>
      <c r="B1" s="802" t="s">
        <v>2271</v>
      </c>
      <c r="C1" s="803"/>
      <c r="D1" s="803"/>
      <c r="E1" s="803"/>
      <c r="F1" s="803"/>
      <c r="G1" s="803"/>
      <c r="H1" s="804"/>
      <c r="I1" s="805" t="s">
        <v>2272</v>
      </c>
      <c r="J1" s="806"/>
      <c r="K1" s="807"/>
      <c r="L1" s="799" t="s">
        <v>2273</v>
      </c>
      <c r="M1" s="800"/>
      <c r="N1" s="800"/>
      <c r="O1" s="800"/>
      <c r="P1" s="801"/>
      <c r="Q1" s="747"/>
      <c r="R1" s="797" t="s">
        <v>2304</v>
      </c>
      <c r="S1" s="795" t="s">
        <v>3413</v>
      </c>
    </row>
    <row r="2" spans="1:25" ht="40.6" customHeight="1" thickBot="1">
      <c r="A2" s="556" t="s">
        <v>3592</v>
      </c>
      <c r="B2" s="554">
        <v>0.55000000000000004</v>
      </c>
      <c r="C2" s="554">
        <v>0.7</v>
      </c>
      <c r="D2" s="554">
        <v>0.8</v>
      </c>
      <c r="E2" s="565">
        <v>1</v>
      </c>
      <c r="F2" s="554">
        <v>1.2</v>
      </c>
      <c r="G2" s="554">
        <v>1.5</v>
      </c>
      <c r="H2" s="565">
        <v>2</v>
      </c>
      <c r="I2" s="566">
        <v>1.2</v>
      </c>
      <c r="J2" s="566">
        <v>1.5</v>
      </c>
      <c r="K2" s="567">
        <v>2</v>
      </c>
      <c r="L2" s="576">
        <v>0.55000000000000004</v>
      </c>
      <c r="M2" s="576">
        <v>0.8</v>
      </c>
      <c r="N2" s="577">
        <v>1</v>
      </c>
      <c r="O2" s="576">
        <v>1.2</v>
      </c>
      <c r="P2" s="576">
        <v>1.5</v>
      </c>
      <c r="Q2" s="748">
        <v>65</v>
      </c>
      <c r="R2" s="798"/>
      <c r="S2" s="796"/>
    </row>
    <row r="3" spans="1:25" ht="16.3">
      <c r="A3" s="432" t="s">
        <v>3431</v>
      </c>
      <c r="B3" s="563">
        <f>'ЛП лоток перф (2)'!B3*1.55*($Q$2/100+1)</f>
        <v>111.80934765000001</v>
      </c>
      <c r="C3" s="563">
        <f>'ЛП лоток перф (2)'!C3*1.55*($Q$2/100+1)</f>
        <v>133.595727890625</v>
      </c>
      <c r="D3" s="563">
        <f>'ЛП лоток перф (2)'!D3*1.55*($Q$2/100+1)</f>
        <v>154.14891679687497</v>
      </c>
      <c r="E3" s="563">
        <f>'ЛП лоток перф (2)'!E3*1.63*($Q$2/100+1)</f>
        <v>194.52598790624998</v>
      </c>
      <c r="F3" s="563">
        <f>'ЛП лоток перф (2)'!F3*1.54*($Q$2/100+1)</f>
        <v>224.62646456250002</v>
      </c>
      <c r="G3" s="563">
        <f>'ЛП лоток перф (2)'!G3*1.54*($Q$2/100+1)</f>
        <v>285.88822762499996</v>
      </c>
      <c r="H3" s="563">
        <f>'ЛП лоток перф (2)'!H3*1.54*($Q$2/100+1)</f>
        <v>399.92935578749996</v>
      </c>
      <c r="I3" s="569">
        <f>'ЛП лоток перф (2)'!I3*1.8*($Q$2/100+1)</f>
        <v>382.91967945000005</v>
      </c>
      <c r="J3" s="569">
        <f>'ЛП лоток перф (2)'!J3*1.8*($Q$2/100+1)</f>
        <v>487.35231929999992</v>
      </c>
      <c r="K3" s="569">
        <f>'ЛП лоток перф (2)'!K3*1.8*($Q$2/100+1)</f>
        <v>711.49325940000006</v>
      </c>
      <c r="L3" s="578">
        <f>'ЛП лоток перф (2)'!L3*1.8*($Q$2/100+1)</f>
        <v>697.98017520000008</v>
      </c>
      <c r="M3" s="578">
        <f>'ЛП лоток перф (2)'!M3*1.8*($Q$2/100+1)</f>
        <v>1015.2438912</v>
      </c>
      <c r="N3" s="578">
        <f>'ЛП лоток перф (2)'!N3*1.8*($Q$2/100+1)</f>
        <v>1269.054864</v>
      </c>
      <c r="O3" s="578">
        <f>'ЛП лоток перф (2)'!O3*1.8*($Q$2/100+1)</f>
        <v>1522.8658367999997</v>
      </c>
      <c r="P3" s="578">
        <f>'ЛП лоток перф (2)'!P3*1.8*($Q$2/100+1)</f>
        <v>1903.5822960000003</v>
      </c>
      <c r="R3" s="131"/>
      <c r="Y3" s="13"/>
    </row>
    <row r="4" spans="1:25" ht="16.3">
      <c r="A4" s="433" t="s">
        <v>3432</v>
      </c>
      <c r="B4" s="563">
        <f>'ЛП лоток перф (2)'!B4*1.55*($Q$2/100+1)</f>
        <v>138.43062090000001</v>
      </c>
      <c r="C4" s="563">
        <f>'ЛП лоток перф (2)'!C4*1.55*($Q$2/100+1)</f>
        <v>165.40423453124995</v>
      </c>
      <c r="D4" s="563">
        <f>'ЛП лоток перф (2)'!D4*1.55*($Q$2/100+1)</f>
        <v>190.85103984374999</v>
      </c>
      <c r="E4" s="563">
        <f>'ЛП лоток перф (2)'!E4*1.63*($Q$2/100+1)</f>
        <v>240.84169931249997</v>
      </c>
      <c r="F4" s="563">
        <f>'ЛП лоток перф (2)'!F4*1.54*($Q$2/100+1)</f>
        <v>278.10895612499996</v>
      </c>
      <c r="G4" s="563">
        <f>'ЛП лоток перф (2)'!G4*1.54*($Q$2/100+1)</f>
        <v>353.95685324999988</v>
      </c>
      <c r="H4" s="563">
        <f>'ЛП лоток перф (2)'!H4*1.54*($Q$2/100+1)</f>
        <v>495.1506309749999</v>
      </c>
      <c r="I4" s="569">
        <f>'ЛП лоток перф (2)'!I4*1.8*($Q$2/100+1)</f>
        <v>474.09103169999997</v>
      </c>
      <c r="J4" s="569">
        <f>'ЛП лоток перф (2)'!J4*1.8*($Q$2/100+1)</f>
        <v>603.38858579999999</v>
      </c>
      <c r="K4" s="569">
        <f>'ЛП лоток перф (2)'!K4*1.8*($Q$2/100+1)</f>
        <v>880.89641640000002</v>
      </c>
      <c r="L4" s="578">
        <f>'ЛП лоток перф (2)'!L4*1.8*($Q$2/100+1)</f>
        <v>864.16593119999982</v>
      </c>
      <c r="M4" s="578">
        <f>'ЛП лоток перф (2)'!M4*1.8*($Q$2/100+1)</f>
        <v>1256.9686271999999</v>
      </c>
      <c r="N4" s="578">
        <f>'ЛП лоток перф (2)'!N4*1.8*($Q$2/100+1)</f>
        <v>1571.2107839999999</v>
      </c>
      <c r="O4" s="578">
        <f>'ЛП лоток перф (2)'!O4*1.8*($Q$2/100+1)</f>
        <v>1885.4529407999999</v>
      </c>
      <c r="P4" s="578">
        <f>'ЛП лоток перф (2)'!P4*1.8*($Q$2/100+1)</f>
        <v>2356.8161759999998</v>
      </c>
      <c r="R4" s="131"/>
      <c r="Y4" s="13"/>
    </row>
    <row r="5" spans="1:25" ht="16.3">
      <c r="A5" s="433" t="s">
        <v>3433</v>
      </c>
      <c r="B5" s="563">
        <f>'ЛП лоток перф (2)'!B5*1.55*($Q$2/100+1)</f>
        <v>156.17813639999997</v>
      </c>
      <c r="C5" s="563">
        <f>'ЛП лоток перф (2)'!C5*1.55*($Q$2/100+1)</f>
        <v>186.60990562499998</v>
      </c>
      <c r="D5" s="563">
        <f>'ЛП лоток перф (2)'!D5*1.55*($Q$2/100+1)</f>
        <v>215.31912187499995</v>
      </c>
      <c r="E5" s="563">
        <f>'ЛП лоток перф (2)'!E5*1.63*($Q$2/100+1)</f>
        <v>271.71884024999991</v>
      </c>
      <c r="F5" s="563">
        <f>'ЛП лоток перф (2)'!F5*1.54*($Q$2/100+1)</f>
        <v>313.76395049999996</v>
      </c>
      <c r="G5" s="563">
        <f>'ЛП лоток перф (2)'!G5*1.54*($Q$2/100+1)</f>
        <v>399.33593699999994</v>
      </c>
      <c r="H5" s="563">
        <f>'ЛП лоток перф (2)'!H5*1.54*($Q$2/100+1)</f>
        <v>558.63148109999997</v>
      </c>
      <c r="I5" s="569">
        <f>'ЛП лоток перф (2)'!I5*1.8*($Q$2/100+1)</f>
        <v>534.87193320000006</v>
      </c>
      <c r="J5" s="569">
        <f>'ЛП лоток перф (2)'!J5*1.8*($Q$2/100+1)</f>
        <v>680.74609679999992</v>
      </c>
      <c r="K5" s="569">
        <f>'ЛП лоток перф (2)'!K5*1.8*($Q$2/100+1)</f>
        <v>993.83185439999988</v>
      </c>
      <c r="L5" s="578">
        <f>'ЛП лоток перф (2)'!L5*1.8*($Q$2/100+1)</f>
        <v>974.95643519999999</v>
      </c>
      <c r="M5" s="578">
        <f>'ЛП лоток перф (2)'!M5*1.8*($Q$2/100+1)</f>
        <v>1418.1184512000002</v>
      </c>
      <c r="N5" s="578">
        <f>'ЛП лоток перф (2)'!N5*1.8*($Q$2/100+1)</f>
        <v>1772.6480639999997</v>
      </c>
      <c r="O5" s="578">
        <f>'ЛП лоток перф (2)'!O5*1.8*($Q$2/100+1)</f>
        <v>2127.1776768</v>
      </c>
      <c r="P5" s="578">
        <f>'ЛП лоток перф (2)'!P5*1.8*($Q$2/100+1)</f>
        <v>2658.972096</v>
      </c>
      <c r="Y5" s="13"/>
    </row>
    <row r="6" spans="1:25" ht="16.3">
      <c r="A6" s="434" t="s">
        <v>3434</v>
      </c>
      <c r="B6" s="563">
        <f>'ЛП лоток перф (2)'!B6*1.55*($Q$2/100+1)</f>
        <v>129.55686315</v>
      </c>
      <c r="C6" s="563">
        <f>'ЛП лоток перф (2)'!C6*1.55*($Q$2/100+1)</f>
        <v>154.801398984375</v>
      </c>
      <c r="D6" s="563">
        <f>'ЛП лоток перф (2)'!D6*1.55*($Q$2/100+1)</f>
        <v>178.61699882812496</v>
      </c>
      <c r="E6" s="563">
        <f>'ЛП лоток перф (2)'!E6*1.63*($Q$2/100+1)</f>
        <v>225.40312884374995</v>
      </c>
      <c r="F6" s="563">
        <f>'ЛП лоток перф (2)'!F6*1.54*($Q$2/100+1)</f>
        <v>260.28145893749996</v>
      </c>
      <c r="G6" s="563">
        <f>'ЛП лоток перф (2)'!G6*1.54*($Q$2/100+1)</f>
        <v>331.26731137499996</v>
      </c>
      <c r="H6" s="563">
        <f>'ЛП лоток перф (2)'!H6*1.54*($Q$2/100+1)</f>
        <v>463.41020591250003</v>
      </c>
      <c r="I6" s="569">
        <f>'ЛП лоток перф (2)'!I6*1.8*($Q$2/100+1)</f>
        <v>443.70058095000002</v>
      </c>
      <c r="J6" s="569">
        <f>'ЛП лоток перф (2)'!J6*1.8*($Q$2/100+1)</f>
        <v>564.70983029999991</v>
      </c>
      <c r="K6" s="569">
        <f>'ЛП лоток перф (2)'!K6*1.8*($Q$2/100+1)</f>
        <v>824.42869739999992</v>
      </c>
      <c r="L6" s="578">
        <f>'ЛП лоток перф (2)'!L6*1.8*($Q$2/100+1)</f>
        <v>808.7706791999999</v>
      </c>
      <c r="M6" s="578">
        <f>'ЛП лоток перф (2)'!M6*1.8*($Q$2/100+1)</f>
        <v>1176.3937151999999</v>
      </c>
      <c r="N6" s="578">
        <f>'ЛП лоток перф (2)'!N6*1.8*($Q$2/100+1)</f>
        <v>1470.4921439999998</v>
      </c>
      <c r="O6" s="578">
        <f>'ЛП лоток перф (2)'!O6*1.8*($Q$2/100+1)</f>
        <v>1764.5905728</v>
      </c>
      <c r="P6" s="578">
        <f>'ЛП лоток перф (2)'!P6*1.8*($Q$2/100+1)</f>
        <v>2205.7382159999997</v>
      </c>
      <c r="Y6" s="13"/>
    </row>
    <row r="7" spans="1:25" ht="16.3">
      <c r="A7" s="433" t="s">
        <v>3435</v>
      </c>
      <c r="B7" s="563">
        <f>'ЛП лоток перф (2)'!B7*1.55*($Q$2/100+1)</f>
        <v>182.79940964999997</v>
      </c>
      <c r="C7" s="563">
        <f>'ЛП лоток перф (2)'!C7*1.55*($Q$2/100+1)</f>
        <v>218.41841226562494</v>
      </c>
      <c r="D7" s="563">
        <f>'ЛП лоток перф (2)'!D7*1.55*($Q$2/100+1)</f>
        <v>252.02124492187497</v>
      </c>
      <c r="E7" s="563">
        <f>'ЛП лоток перф (2)'!E7*1.63*($Q$2/100+1)</f>
        <v>318.0345516562499</v>
      </c>
      <c r="F7" s="563">
        <f>'ЛП лоток перф (2)'!F7*1.54*($Q$2/100+1)</f>
        <v>367.24644206249991</v>
      </c>
      <c r="G7" s="563">
        <f>'ЛП лоток перф (2)'!G7*1.54*($Q$2/100+1)</f>
        <v>467.40456262499987</v>
      </c>
      <c r="H7" s="563">
        <f>'ЛП лоток перф (2)'!H7*1.54*($Q$2/100+1)</f>
        <v>653.8527562874998</v>
      </c>
      <c r="I7" s="569">
        <f>'ЛП лоток перф (2)'!I7*1.8*($Q$2/100+1)</f>
        <v>626.04328544999998</v>
      </c>
      <c r="J7" s="569">
        <f>'ЛП лоток перф (2)'!J7*1.8*($Q$2/100+1)</f>
        <v>796.7823632999997</v>
      </c>
      <c r="K7" s="569">
        <f>'ЛП лоток перф (2)'!K7*1.8*($Q$2/100+1)</f>
        <v>1163.2350113999998</v>
      </c>
      <c r="L7" s="578">
        <f>'ЛП лоток перф (2)'!L7*1.8*($Q$2/100+1)</f>
        <v>1141.1421911999998</v>
      </c>
      <c r="M7" s="578">
        <f>'ЛП лоток перф (2)'!M7*1.8*($Q$2/100+1)</f>
        <v>1659.8431872000001</v>
      </c>
      <c r="N7" s="578">
        <f>'ЛП лоток перф (2)'!N7*1.8*($Q$2/100+1)</f>
        <v>2074.8039839999997</v>
      </c>
      <c r="O7" s="578">
        <f>'ЛП лоток перф (2)'!O7*1.8*($Q$2/100+1)</f>
        <v>2489.7647807999992</v>
      </c>
      <c r="P7" s="578">
        <f>'ЛП лоток перф (2)'!P7*1.8*($Q$2/100+1)</f>
        <v>3112.2059759999997</v>
      </c>
      <c r="Y7" s="13"/>
    </row>
    <row r="8" spans="1:25" ht="16.3">
      <c r="A8" s="433" t="s">
        <v>3436</v>
      </c>
      <c r="B8" s="563">
        <f>'ЛП лоток перф (2)'!B8*1.55*($Q$2/100+1)</f>
        <v>156.17813639999997</v>
      </c>
      <c r="C8" s="563">
        <f>'ЛП лоток перф (2)'!C8*1.55*($Q$2/100+1)</f>
        <v>186.60990562499998</v>
      </c>
      <c r="D8" s="563">
        <f>'ЛП лоток перф (2)'!D8*1.55*($Q$2/100+1)</f>
        <v>215.31912187499995</v>
      </c>
      <c r="E8" s="563">
        <f>'ЛП лоток перф (2)'!E8*1.63*($Q$2/100+1)</f>
        <v>271.71884024999991</v>
      </c>
      <c r="F8" s="563">
        <f>'ЛП лоток перф (2)'!F8*1.54*($Q$2/100+1)</f>
        <v>313.76395049999996</v>
      </c>
      <c r="G8" s="563">
        <f>'ЛП лоток перф (2)'!G8*1.54*($Q$2/100+1)</f>
        <v>399.33593699999994</v>
      </c>
      <c r="H8" s="563">
        <f>'ЛП лоток перф (2)'!H8*1.54*($Q$2/100+1)</f>
        <v>558.63148109999997</v>
      </c>
      <c r="I8" s="569">
        <f>'ЛП лоток перф (2)'!I8*1.8*($Q$2/100+1)</f>
        <v>534.87193320000006</v>
      </c>
      <c r="J8" s="569">
        <f>'ЛП лоток перф (2)'!J8*1.8*($Q$2/100+1)</f>
        <v>680.74609679999992</v>
      </c>
      <c r="K8" s="569">
        <f>'ЛП лоток перф (2)'!K8*1.8*($Q$2/100+1)</f>
        <v>993.83185439999988</v>
      </c>
      <c r="L8" s="578">
        <f>'ЛП лоток перф (2)'!L8*1.8*($Q$2/100+1)</f>
        <v>974.95643519999999</v>
      </c>
      <c r="M8" s="578">
        <f>'ЛП лоток перф (2)'!M8*1.8*($Q$2/100+1)</f>
        <v>1418.1184512000002</v>
      </c>
      <c r="N8" s="578">
        <f>'ЛП лоток перф (2)'!N8*1.8*($Q$2/100+1)</f>
        <v>1772.6480639999997</v>
      </c>
      <c r="O8" s="578">
        <f>'ЛП лоток перф (2)'!O8*1.8*($Q$2/100+1)</f>
        <v>2127.1776768</v>
      </c>
      <c r="P8" s="578">
        <f>'ЛП лоток перф (2)'!P8*1.8*($Q$2/100+1)</f>
        <v>2658.972096</v>
      </c>
      <c r="Y8" s="13"/>
    </row>
    <row r="9" spans="1:25" ht="16.3">
      <c r="A9" s="433" t="s">
        <v>3437</v>
      </c>
      <c r="B9" s="563">
        <f>'ЛП лоток перф (2)'!B9*1.55*($Q$2/100+1)</f>
        <v>200.54692514999999</v>
      </c>
      <c r="C9" s="563">
        <f>'ЛП лоток перф (2)'!C9*1.55*($Q$2/100+1)</f>
        <v>239.62408335937496</v>
      </c>
      <c r="D9" s="563">
        <f>'ЛП лоток перф (2)'!D9*1.55*($Q$2/100+1)</f>
        <v>276.48932695312499</v>
      </c>
      <c r="E9" s="563">
        <f>'ЛП лоток перф (2)'!E9*1.63*($Q$2/100+1)</f>
        <v>348.91169259374988</v>
      </c>
      <c r="F9" s="563">
        <f>'ЛП лоток перф (2)'!F9*1.54*($Q$2/100+1)</f>
        <v>402.90143643750002</v>
      </c>
      <c r="G9" s="563">
        <f>'ЛП лоток перф (2)'!G9*1.54*($Q$2/100+1)</f>
        <v>512.78364637499999</v>
      </c>
      <c r="H9" s="563">
        <f>'ЛП лоток перф (2)'!H9*1.54*($Q$2/100+1)</f>
        <v>717.3336064125001</v>
      </c>
      <c r="I9" s="569">
        <f>'ЛП лоток перф (2)'!I9*1.8*($Q$2/100+1)</f>
        <v>686.82418695000001</v>
      </c>
      <c r="J9" s="569">
        <f>'ЛП лоток перф (2)'!J9*1.8*($Q$2/100+1)</f>
        <v>874.13987429999997</v>
      </c>
      <c r="K9" s="569">
        <f>'ЛП лоток перф (2)'!K9*1.8*($Q$2/100+1)</f>
        <v>1276.1704494000001</v>
      </c>
      <c r="L9" s="578">
        <f>'ЛП лоток перф (2)'!L9*1.8*($Q$2/100+1)</f>
        <v>1251.9326952000001</v>
      </c>
      <c r="M9" s="578">
        <f>'ЛП лоток перф (2)'!M9*1.8*($Q$2/100+1)</f>
        <v>1820.9930112</v>
      </c>
      <c r="N9" s="578">
        <f>'ЛП лоток перф (2)'!N9*1.8*($Q$2/100+1)</f>
        <v>2276.2412639999998</v>
      </c>
      <c r="O9" s="578">
        <f>'ЛП лоток перф (2)'!O9*1.8*($Q$2/100+1)</f>
        <v>2731.4895167999998</v>
      </c>
      <c r="P9" s="578">
        <f>'ЛП лоток перф (2)'!P9*1.8*($Q$2/100+1)</f>
        <v>3414.3618960000003</v>
      </c>
      <c r="Y9" s="13"/>
    </row>
    <row r="10" spans="1:25" ht="16.3">
      <c r="A10" s="433" t="s">
        <v>3438</v>
      </c>
      <c r="B10" s="563">
        <f>'ЛП лоток перф (2)'!B10*1.55*($Q$2/100+1)</f>
        <v>209.42068289999997</v>
      </c>
      <c r="C10" s="563">
        <f>'ЛП лоток перф (2)'!C10*1.55*($Q$2/100+1)</f>
        <v>250.22691890624992</v>
      </c>
      <c r="D10" s="563">
        <f>'ЛП лоток перф (2)'!D10*1.55*($Q$2/100+1)</f>
        <v>288.72336796874993</v>
      </c>
      <c r="E10" s="563">
        <f>'ЛП лоток перф (2)'!E10*1.63*($Q$2/100+1)</f>
        <v>364.35026306249983</v>
      </c>
      <c r="F10" s="563">
        <f>'ЛП лоток перф (2)'!F10*1.54*($Q$2/100+1)</f>
        <v>420.72893362499997</v>
      </c>
      <c r="G10" s="563">
        <f>'ЛП лоток перф (2)'!G10*1.54*($Q$2/100+1)</f>
        <v>535.47318824999991</v>
      </c>
      <c r="H10" s="563">
        <f>'ЛП лоток перф (2)'!H10*1.54*($Q$2/100+1)</f>
        <v>749.07403147499986</v>
      </c>
      <c r="I10" s="569">
        <f>'ЛП лоток перф (2)'!I10*1.8*($Q$2/100+1)</f>
        <v>717.21463769999991</v>
      </c>
      <c r="J10" s="569">
        <f>'ЛП лоток перф (2)'!J10*1.8*($Q$2/100+1)</f>
        <v>912.81862979999983</v>
      </c>
      <c r="K10" s="569">
        <f>'ЛП лоток перф (2)'!K10*1.8*($Q$2/100+1)</f>
        <v>1332.6381683999998</v>
      </c>
      <c r="L10" s="578">
        <f>'ЛП лоток перф (2)'!L10*1.8*($Q$2/100+1)</f>
        <v>1307.3279471999997</v>
      </c>
      <c r="M10" s="578">
        <f>'ЛП лоток перф (2)'!M10*1.8*($Q$2/100+1)</f>
        <v>1901.5679232</v>
      </c>
      <c r="N10" s="578">
        <f>'ЛП лоток перф (2)'!N10*1.8*($Q$2/100+1)</f>
        <v>2376.9599039999994</v>
      </c>
      <c r="O10" s="578">
        <f>'ЛП лоток перф (2)'!O10*1.8*($Q$2/100+1)</f>
        <v>2852.3518847999994</v>
      </c>
      <c r="P10" s="578">
        <f>'ЛП лоток перф (2)'!P10*1.8*($Q$2/100+1)</f>
        <v>3565.439856</v>
      </c>
      <c r="Y10" s="13"/>
    </row>
    <row r="11" spans="1:25" ht="16.3">
      <c r="A11" s="433" t="s">
        <v>3439</v>
      </c>
      <c r="B11" s="563">
        <f>'ЛП лоток перф (2)'!B11*1.55*($Q$2/100+1)</f>
        <v>236.04195615</v>
      </c>
      <c r="C11" s="563">
        <f>'ЛП лоток перф (2)'!C11*1.55*($Q$2/100+1)</f>
        <v>282.03542554687499</v>
      </c>
      <c r="D11" s="563">
        <f>'ЛП лоток перф (2)'!D11*1.55*($Q$2/100+1)</f>
        <v>325.42549101562497</v>
      </c>
      <c r="E11" s="563">
        <f>'ЛП лоток перф (2)'!E11*1.63*($Q$2/100+1)</f>
        <v>410.66597446874994</v>
      </c>
      <c r="F11" s="563">
        <f>'ЛП лоток перф (2)'!F11*1.54*($Q$2/100+1)</f>
        <v>474.21142518750003</v>
      </c>
      <c r="G11" s="563">
        <f>'ЛП лоток перф (2)'!G11*1.54*($Q$2/100+1)</f>
        <v>603.541813875</v>
      </c>
      <c r="H11" s="563">
        <f>'ЛП лоток перф (2)'!H11*1.54*($Q$2/100+1)</f>
        <v>844.2953066624998</v>
      </c>
      <c r="I11" s="569">
        <f>'ЛП лоток перф (2)'!I11*1.8*($Q$2/100+1)</f>
        <v>808.38598994999995</v>
      </c>
      <c r="J11" s="569">
        <f>'ЛП лоток перф (2)'!J11*1.8*($Q$2/100+1)</f>
        <v>1028.8548962999998</v>
      </c>
      <c r="K11" s="569">
        <f>'ЛП лоток перф (2)'!K11*1.8*($Q$2/100+1)</f>
        <v>1502.0413254000002</v>
      </c>
      <c r="L11" s="578">
        <f>'ЛП лоток перф (2)'!L11*1.8*($Q$2/100+1)</f>
        <v>1473.5137032</v>
      </c>
      <c r="M11" s="578">
        <f>'ЛП лоток перф (2)'!M11*1.8*($Q$2/100+1)</f>
        <v>2143.2926592000003</v>
      </c>
      <c r="N11" s="578">
        <f>'ЛП лоток перф (2)'!N11*1.8*($Q$2/100+1)</f>
        <v>2679.1158239999995</v>
      </c>
      <c r="O11" s="578">
        <f>'ЛП лоток перф (2)'!O11*1.8*($Q$2/100+1)</f>
        <v>3214.9389887999996</v>
      </c>
      <c r="P11" s="578">
        <f>'ЛП лоток перф (2)'!P11*1.8*($Q$2/100+1)</f>
        <v>4018.6737359999997</v>
      </c>
      <c r="Y11" s="13"/>
    </row>
    <row r="12" spans="1:25" ht="16.3">
      <c r="A12" s="433" t="s">
        <v>3440</v>
      </c>
      <c r="B12" s="563">
        <f>'ЛП лоток перф (2)'!B12*1.55*($Q$2/100+1)</f>
        <v>271.53698714999996</v>
      </c>
      <c r="C12" s="563">
        <f>'ЛП лоток перф (2)'!C12*1.55*($Q$2/100+1)</f>
        <v>324.44676773437499</v>
      </c>
      <c r="D12" s="563">
        <f>'ЛП лоток перф (2)'!D12*1.55*($Q$2/100+1)</f>
        <v>374.36165507812501</v>
      </c>
      <c r="E12" s="563">
        <f>'ЛП лоток перф (2)'!E12*1.63*($Q$2/100+1)</f>
        <v>472.42025634374994</v>
      </c>
      <c r="F12" s="563">
        <f>'ЛП лоток перф (2)'!F12*1.54*($Q$2/100+1)</f>
        <v>545.52141393750003</v>
      </c>
      <c r="G12" s="563">
        <f>'ЛП лоток перф (2)'!G12*1.54*($Q$2/100+1)</f>
        <v>694.2999813749999</v>
      </c>
      <c r="H12" s="563">
        <f>'ЛП лоток перф (2)'!H12*1.54*($Q$2/100+1)</f>
        <v>971.25700691249995</v>
      </c>
      <c r="I12" s="569">
        <f>'ЛП лоток перф (2)'!I12*1.8*($Q$2/100+1)</f>
        <v>929.94779295000001</v>
      </c>
      <c r="J12" s="569">
        <f>'ЛП лоток перф (2)'!J12*1.8*($Q$2/100+1)</f>
        <v>1183.5699182999997</v>
      </c>
      <c r="K12" s="569">
        <f>'ЛП лоток перф (2)'!K12*1.8*($Q$2/100+1)</f>
        <v>1727.9122014000002</v>
      </c>
      <c r="L12" s="578">
        <f>'ЛП лоток перф (2)'!L12*1.8*($Q$2/100+1)</f>
        <v>1695.0947111999999</v>
      </c>
      <c r="M12" s="578">
        <f>'ЛП лоток перф (2)'!M12*1.8*($Q$2/100+1)</f>
        <v>2465.5923072000001</v>
      </c>
      <c r="N12" s="578">
        <f>'ЛП лоток перф (2)'!N12*1.8*($Q$2/100+1)</f>
        <v>3081.9903840000002</v>
      </c>
      <c r="O12" s="578">
        <f>'ЛП лоток перф (2)'!O12*1.8*($Q$2/100+1)</f>
        <v>3698.3884607999998</v>
      </c>
      <c r="P12" s="578">
        <f>'ЛП лоток перф (2)'!P12*1.8*($Q$2/100+1)</f>
        <v>4622.985576</v>
      </c>
      <c r="Y12" s="13"/>
    </row>
    <row r="13" spans="1:25" ht="16.3">
      <c r="A13" s="433" t="s">
        <v>3441</v>
      </c>
      <c r="B13" s="563">
        <f>'ЛП лоток перф (2)'!B13*1.55*($Q$2/100+1)</f>
        <v>200.54692514999999</v>
      </c>
      <c r="C13" s="563">
        <f>'ЛП лоток перф (2)'!C13*1.55*($Q$2/100+1)</f>
        <v>239.62408335937496</v>
      </c>
      <c r="D13" s="563">
        <f>'ЛП лоток перф (2)'!D13*1.55*($Q$2/100+1)</f>
        <v>276.48932695312499</v>
      </c>
      <c r="E13" s="563">
        <f>'ЛП лоток перф (2)'!E13*1.63*($Q$2/100+1)</f>
        <v>348.91169259374988</v>
      </c>
      <c r="F13" s="563">
        <f>'ЛП лоток перф (2)'!F13*1.54*($Q$2/100+1)</f>
        <v>402.90143643750002</v>
      </c>
      <c r="G13" s="563">
        <f>'ЛП лоток перф (2)'!G13*1.54*($Q$2/100+1)</f>
        <v>512.78364637499999</v>
      </c>
      <c r="H13" s="563">
        <f>'ЛП лоток перф (2)'!H13*1.54*($Q$2/100+1)</f>
        <v>717.3336064125001</v>
      </c>
      <c r="I13" s="569">
        <f>'ЛП лоток перф (2)'!I13*1.8*($Q$2/100+1)</f>
        <v>686.82418695000001</v>
      </c>
      <c r="J13" s="569">
        <f>'ЛП лоток перф (2)'!J13*1.8*($Q$2/100+1)</f>
        <v>874.13987429999997</v>
      </c>
      <c r="K13" s="569">
        <f>'ЛП лоток перф (2)'!K13*1.8*($Q$2/100+1)</f>
        <v>1276.1704494000001</v>
      </c>
      <c r="L13" s="578">
        <f>'ЛП лоток перф (2)'!L13*1.8*($Q$2/100+1)</f>
        <v>1251.9326952000001</v>
      </c>
      <c r="M13" s="578">
        <f>'ЛП лоток перф (2)'!M13*1.8*($Q$2/100+1)</f>
        <v>1820.9930112</v>
      </c>
      <c r="N13" s="578">
        <f>'ЛП лоток перф (2)'!N13*1.8*($Q$2/100+1)</f>
        <v>2276.2412639999998</v>
      </c>
      <c r="O13" s="578">
        <f>'ЛП лоток перф (2)'!O13*1.8*($Q$2/100+1)</f>
        <v>2731.4895167999998</v>
      </c>
      <c r="P13" s="578">
        <f>'ЛП лоток перф (2)'!P13*1.8*($Q$2/100+1)</f>
        <v>3414.3618960000003</v>
      </c>
    </row>
    <row r="14" spans="1:25" ht="16.3">
      <c r="A14" s="433" t="s">
        <v>3442</v>
      </c>
      <c r="B14" s="563">
        <f>'ЛП лоток перф (2)'!B14*1.55*($Q$2/100+1)</f>
        <v>227.16819839999999</v>
      </c>
      <c r="C14" s="563">
        <f>'ЛП лоток перф (2)'!C14*1.55*($Q$2/100+1)</f>
        <v>271.43258999999995</v>
      </c>
      <c r="D14" s="563">
        <f>'ЛП лоток перф (2)'!D14*1.55*($Q$2/100+1)</f>
        <v>313.19144999999997</v>
      </c>
      <c r="E14" s="563">
        <f>'ЛП лоток перф (2)'!E14*1.63*($Q$2/100+1)</f>
        <v>395.22740399999986</v>
      </c>
      <c r="F14" s="563">
        <f>'ЛП лоток перф (2)'!F14*1.54*($Q$2/100+1)</f>
        <v>456.38392800000008</v>
      </c>
      <c r="G14" s="563">
        <f>'ЛП лоток перф (2)'!G14*1.54*($Q$2/100+1)</f>
        <v>580.85227199999986</v>
      </c>
      <c r="H14" s="563">
        <f>'ЛП лоток перф (2)'!H14*1.54*($Q$2/100+1)</f>
        <v>812.55488159999982</v>
      </c>
      <c r="I14" s="569">
        <f>'ЛП лоток перф (2)'!I14*1.8*($Q$2/100+1)</f>
        <v>777.99553920000005</v>
      </c>
      <c r="J14" s="569">
        <f>'ЛП лоток перф (2)'!J14*1.8*($Q$2/100+1)</f>
        <v>990.17614079999976</v>
      </c>
      <c r="K14" s="569">
        <f>'ЛП лоток перф (2)'!K14*1.8*($Q$2/100+1)</f>
        <v>1445.5736064</v>
      </c>
      <c r="L14" s="578">
        <f>'ЛП лоток перф (2)'!L14*1.8*($Q$2/100+1)</f>
        <v>1418.1184512000002</v>
      </c>
      <c r="M14" s="578">
        <f>'ЛП лоток перф (2)'!M14*1.8*($Q$2/100+1)</f>
        <v>2062.7177471999998</v>
      </c>
      <c r="N14" s="578">
        <f>'ЛП лоток перф (2)'!N14*1.8*($Q$2/100+1)</f>
        <v>2578.3971839999995</v>
      </c>
      <c r="O14" s="578">
        <f>'ЛП лоток перф (2)'!O14*1.8*($Q$2/100+1)</f>
        <v>3094.0766208</v>
      </c>
      <c r="P14" s="578">
        <f>'ЛП лоток перф (2)'!P14*1.8*($Q$2/100+1)</f>
        <v>3867.5957759999992</v>
      </c>
    </row>
    <row r="15" spans="1:25" ht="16.5" customHeight="1">
      <c r="A15" s="433" t="s">
        <v>3443</v>
      </c>
      <c r="B15" s="563">
        <f>'ЛП лоток перф (2)'!B15*1.55*($Q$2/100+1)</f>
        <v>280.4107449</v>
      </c>
      <c r="C15" s="563">
        <f>'ЛП лоток перф (2)'!C15*1.55*($Q$2/100+1)</f>
        <v>335.04960328124997</v>
      </c>
      <c r="D15" s="563">
        <f>'ЛП лоток перф (2)'!D15*1.55*($Q$2/100+1)</f>
        <v>386.59569609374989</v>
      </c>
      <c r="E15" s="563">
        <f>'ЛП лоток перф (2)'!E15*1.63*($Q$2/100+1)</f>
        <v>487.85882681250001</v>
      </c>
      <c r="F15" s="563">
        <f>'ЛП лоток перф (2)'!F15*1.54*($Q$2/100+1)</f>
        <v>563.34891112499997</v>
      </c>
      <c r="G15" s="563">
        <f>'ЛП лоток перф (2)'!G15*1.54*($Q$2/100+1)</f>
        <v>716.98952324999993</v>
      </c>
      <c r="H15" s="563">
        <f>'ЛП лоток перф (2)'!H15*1.54*($Q$2/100+1)</f>
        <v>1002.9974319749999</v>
      </c>
      <c r="I15" s="569">
        <f>'ЛП лоток перф (2)'!I15*1.8*($Q$2/100+1)</f>
        <v>960.33824370000013</v>
      </c>
      <c r="J15" s="569">
        <f>'ЛП лоток перф (2)'!J15*1.8*($Q$2/100+1)</f>
        <v>1222.2486737999998</v>
      </c>
      <c r="K15" s="569">
        <f>'ЛП лоток перф (2)'!K15*1.8*($Q$2/100+1)</f>
        <v>1784.3799204000002</v>
      </c>
      <c r="L15" s="578">
        <f>'ЛП лоток перф (2)'!L15*1.8*($Q$2/100+1)</f>
        <v>1750.4899632000004</v>
      </c>
      <c r="M15" s="578">
        <f>'ЛП лоток перф (2)'!M15*1.8*($Q$2/100+1)</f>
        <v>2546.1672192000001</v>
      </c>
      <c r="N15" s="578">
        <f>'ЛП лоток перф (2)'!N15*1.8*($Q$2/100+1)</f>
        <v>3182.7090240000002</v>
      </c>
      <c r="O15" s="578">
        <f>'ЛП лоток перф (2)'!O15*1.8*($Q$2/100+1)</f>
        <v>3819.2508287999995</v>
      </c>
      <c r="P15" s="578">
        <f>'ЛП лоток перф (2)'!P15*1.8*($Q$2/100+1)</f>
        <v>4774.0635359999997</v>
      </c>
    </row>
    <row r="16" spans="1:25" ht="14.95" customHeight="1">
      <c r="A16" s="433" t="s">
        <v>3444</v>
      </c>
      <c r="B16" s="563">
        <f>'ЛП лоток перф (2)'!B16*1.55*($Q$2/100+1)</f>
        <v>315.90577589999998</v>
      </c>
      <c r="C16" s="563">
        <f>'ЛП лоток перф (2)'!C16*1.55*($Q$2/100+1)</f>
        <v>377.46094546874991</v>
      </c>
      <c r="D16" s="563">
        <f>'ЛП лоток перф (2)'!D16*1.55*($Q$2/100+1)</f>
        <v>435.53186015624999</v>
      </c>
      <c r="E16" s="563">
        <f>'ЛП лоток перф (2)'!E16*1.63*($Q$2/100+1)</f>
        <v>549.6131086874999</v>
      </c>
      <c r="F16" s="563">
        <f>'ЛП лоток перф (2)'!F16*1.54*($Q$2/100+1)</f>
        <v>634.65889987499997</v>
      </c>
      <c r="G16" s="563">
        <f>'ЛП лоток перф (2)'!G16*1.54*($Q$2/100+1)</f>
        <v>807.74769074999983</v>
      </c>
      <c r="H16" s="563">
        <f>'ЛП лоток перф (2)'!H16*1.54*($Q$2/100+1)</f>
        <v>1129.9591322249996</v>
      </c>
      <c r="I16" s="569">
        <f>'ЛП лоток перф (2)'!I16*1.8*($Q$2/100+1)</f>
        <v>1081.9000466999998</v>
      </c>
      <c r="J16" s="569">
        <f>'ЛП лоток перф (2)'!J16*1.8*($Q$2/100+1)</f>
        <v>1376.9636957999996</v>
      </c>
      <c r="K16" s="569">
        <f>'ЛП лоток перф (2)'!K16*1.8*($Q$2/100+1)</f>
        <v>1243.2037464</v>
      </c>
      <c r="L16" s="578">
        <f>'ЛП лоток перф (2)'!L16*1.8*($Q$2/100+1)</f>
        <v>1972.0709711999998</v>
      </c>
      <c r="M16" s="578">
        <f>'ЛП лоток перф (2)'!M16*1.8*($Q$2/100+1)</f>
        <v>2868.4668671999998</v>
      </c>
      <c r="N16" s="578">
        <f>'ЛП лоток перф (2)'!N16*1.8*($Q$2/100+1)</f>
        <v>3585.5835839999995</v>
      </c>
      <c r="O16" s="578">
        <f>'ЛП лоток перф (2)'!O16*1.8*($Q$2/100+1)</f>
        <v>4302.7003007999983</v>
      </c>
      <c r="P16" s="578">
        <f>'ЛП лоток перф (2)'!P16*1.8*($Q$2/100+1)</f>
        <v>5378.375376</v>
      </c>
    </row>
    <row r="17" spans="1:16" ht="14.95" customHeight="1">
      <c r="A17" s="433" t="s">
        <v>3445</v>
      </c>
      <c r="B17" s="563">
        <f>'ЛП лоток перф (2)'!B17*1.55*($Q$2/100+1)</f>
        <v>404.64335340000002</v>
      </c>
      <c r="C17" s="563">
        <f>'ЛП лоток перф (2)'!C17*1.55*($Q$2/100+1)</f>
        <v>483.48930093750005</v>
      </c>
      <c r="D17" s="563">
        <f>'ЛП лоток перф (2)'!D17*1.55*($Q$2/100+1)</f>
        <v>557.87227031249995</v>
      </c>
      <c r="E17" s="563">
        <f>'ЛП лоток перф (2)'!E17*1.63*($Q$2/100+1)</f>
        <v>703.99881337499994</v>
      </c>
      <c r="F17" s="563">
        <f>'ЛП лоток перф (2)'!F17*1.54*($Q$2/100+1)</f>
        <v>812.93387174999998</v>
      </c>
      <c r="G17" s="563">
        <f>'ЛП лоток перф (2)'!G17*1.54*($Q$2/100+1)</f>
        <v>1034.6431094999998</v>
      </c>
      <c r="H17" s="563">
        <f>'ЛП лоток перф (2)'!H17*1.54*($Q$2/100+1)</f>
        <v>1447.3633828499999</v>
      </c>
      <c r="I17" s="569">
        <f>'ЛП лоток перф (2)'!I17*1.8*($Q$2/100+1)</f>
        <v>1385.8045542</v>
      </c>
      <c r="J17" s="569">
        <f>'ЛП лоток перф (2)'!J17*1.8*($Q$2/100+1)</f>
        <v>1763.7512508000002</v>
      </c>
      <c r="K17" s="569">
        <f>'ЛП лоток перф (2)'!K17*1.8*($Q$2/100+1)</f>
        <v>2355.7716863999999</v>
      </c>
      <c r="L17" s="578">
        <f>'ЛП лоток перф (2)'!L17*1.8*($Q$2/100+1)</f>
        <v>2526.0234912000005</v>
      </c>
      <c r="M17" s="578">
        <f>'ЛП лоток перф (2)'!M17*1.8*($Q$2/100+1)</f>
        <v>3674.2159872000007</v>
      </c>
      <c r="N17" s="578">
        <f>'ЛП лоток перф (2)'!N17*1.8*($Q$2/100+1)</f>
        <v>4592.7699840000005</v>
      </c>
      <c r="O17" s="578">
        <f>'ЛП лоток перф (2)'!O17*1.8*($Q$2/100+1)</f>
        <v>5511.3239807999998</v>
      </c>
      <c r="P17" s="578">
        <f>'ЛП лоток перф (2)'!P17*1.8*($Q$2/100+1)</f>
        <v>6889.1549760000025</v>
      </c>
    </row>
    <row r="18" spans="1:16" ht="14.95" customHeight="1">
      <c r="A18" s="433" t="s">
        <v>3446</v>
      </c>
      <c r="B18" s="563">
        <f>'ЛП лоток перф (2)'!B18*1.55*($Q$2/100+1)</f>
        <v>244.91571390000007</v>
      </c>
      <c r="C18" s="563">
        <f>'ЛП лоток перф (2)'!C18*1.55*($Q$2/100+1)</f>
        <v>292.63826109375003</v>
      </c>
      <c r="D18" s="563">
        <f>'ЛП лоток перф (2)'!D18*1.55*($Q$2/100+1)</f>
        <v>337.65953203124997</v>
      </c>
      <c r="E18" s="563">
        <f>'ЛП лоток перф (2)'!E18*1.63*($Q$2/100+1)</f>
        <v>426.10454493749995</v>
      </c>
      <c r="F18" s="563">
        <f>'ЛП лоток перф (2)'!F18*1.54*($Q$2/100+1)</f>
        <v>492.03892237500003</v>
      </c>
      <c r="G18" s="563">
        <f>'ЛП лоток перф (2)'!G18*1.54*($Q$2/100+1)</f>
        <v>626.23135574999992</v>
      </c>
      <c r="H18" s="563">
        <f>'ЛП лоток перф (2)'!H18*1.54*($Q$2/100+1)</f>
        <v>876.03573172500001</v>
      </c>
      <c r="I18" s="569">
        <f>'ЛП лоток перф (2)'!I18*1.8*($Q$2/100+1)</f>
        <v>838.77644070000008</v>
      </c>
      <c r="J18" s="569">
        <f>'ЛП лоток перф (2)'!J18*1.8*($Q$2/100+1)</f>
        <v>1067.5336517999999</v>
      </c>
      <c r="K18" s="569">
        <f>'ЛП лоток перф (2)'!K18*1.8*($Q$2/100+1)</f>
        <v>1952.9903844</v>
      </c>
      <c r="L18" s="578">
        <f>'ЛП лоток перф (2)'!L18*1.8*($Q$2/100+1)</f>
        <v>1528.9089552000005</v>
      </c>
      <c r="M18" s="578">
        <f>'ЛП лоток перф (2)'!M18*1.8*($Q$2/100+1)</f>
        <v>2223.8675712000008</v>
      </c>
      <c r="N18" s="578">
        <f>'ЛП лоток перф (2)'!N18*1.8*($Q$2/100+1)</f>
        <v>2779.834464</v>
      </c>
      <c r="O18" s="578">
        <f>'ЛП лоток перф (2)'!O18*1.8*($Q$2/100+1)</f>
        <v>3335.8013568000006</v>
      </c>
      <c r="P18" s="578">
        <f>'ЛП лоток перф (2)'!P18*1.8*($Q$2/100+1)</f>
        <v>4169.7516960000003</v>
      </c>
    </row>
    <row r="19" spans="1:16" ht="16.3">
      <c r="A19" s="433" t="s">
        <v>3447</v>
      </c>
      <c r="B19" s="563">
        <f>'ЛП лоток перф (2)'!B19*1.55*($Q$2/100+1)</f>
        <v>271.53698714999996</v>
      </c>
      <c r="C19" s="563">
        <f>'ЛП лоток перф (2)'!C19*1.55*($Q$2/100+1)</f>
        <v>324.44676773437499</v>
      </c>
      <c r="D19" s="563">
        <f>'ЛП лоток перф (2)'!D19*1.55*($Q$2/100+1)</f>
        <v>374.36165507812501</v>
      </c>
      <c r="E19" s="563">
        <f>'ЛП лоток перф (2)'!E19*1.63*($Q$2/100+1)</f>
        <v>472.42025634374994</v>
      </c>
      <c r="F19" s="563">
        <f>'ЛП лоток перф (2)'!F19*1.54*($Q$2/100+1)</f>
        <v>545.52141393750003</v>
      </c>
      <c r="G19" s="563">
        <f>'ЛП лоток перф (2)'!G19*1.54*($Q$2/100+1)</f>
        <v>694.2999813749999</v>
      </c>
      <c r="H19" s="563">
        <f>'ЛП лоток перф (2)'!H19*1.54*($Q$2/100+1)</f>
        <v>971.25700691249995</v>
      </c>
      <c r="I19" s="569">
        <f>'ЛП лоток перф (2)'!I19*1.8*($Q$2/100+1)</f>
        <v>929.94779295000001</v>
      </c>
      <c r="J19" s="569">
        <f>'ЛП лоток перф (2)'!J19*1.8*($Q$2/100+1)</f>
        <v>1183.5699182999997</v>
      </c>
      <c r="K19" s="569">
        <f>'ЛП лоток перф (2)'!K19*1.8*($Q$2/100+1)</f>
        <v>1662.1653114000001</v>
      </c>
      <c r="L19" s="578">
        <f>'ЛП лоток перф (2)'!L19*1.8*($Q$2/100+1)</f>
        <v>1695.0947111999999</v>
      </c>
      <c r="M19" s="578">
        <f>'ЛП лоток перф (2)'!M19*1.8*($Q$2/100+1)</f>
        <v>2465.5923072000001</v>
      </c>
      <c r="N19" s="578">
        <f>'ЛП лоток перф (2)'!N19*1.8*($Q$2/100+1)</f>
        <v>3081.9903840000002</v>
      </c>
      <c r="O19" s="578">
        <f>'ЛП лоток перф (2)'!O19*1.8*($Q$2/100+1)</f>
        <v>3698.3884607999998</v>
      </c>
      <c r="P19" s="578">
        <f>'ЛП лоток перф (2)'!P19*1.8*($Q$2/100+1)</f>
        <v>4622.985576</v>
      </c>
    </row>
    <row r="20" spans="1:16" ht="16.3">
      <c r="A20" s="433" t="s">
        <v>3448</v>
      </c>
      <c r="B20" s="563">
        <f>'ЛП лоток перф (2)'!B20*1.55*($Q$2/100+1)</f>
        <v>289.28450265000004</v>
      </c>
      <c r="C20" s="563">
        <f>'ЛП лоток перф (2)'!C20*1.55*($Q$2/100+1)</f>
        <v>345.65243882812507</v>
      </c>
      <c r="D20" s="563">
        <f>'ЛП лоток перф (2)'!D20*1.55*($Q$2/100+1)</f>
        <v>398.829737109375</v>
      </c>
      <c r="E20" s="563">
        <f>'ЛП лоток перф (2)'!E20*1.63*($Q$2/100+1)</f>
        <v>503.29739728124997</v>
      </c>
      <c r="F20" s="563">
        <f>'ЛП лоток перф (2)'!F20*1.54*($Q$2/100+1)</f>
        <v>581.17640831250003</v>
      </c>
      <c r="G20" s="563">
        <f>'ЛП лоток перф (2)'!G20*1.54*($Q$2/100+1)</f>
        <v>739.67906512499997</v>
      </c>
      <c r="H20" s="563">
        <f>'ЛП лоток перф (2)'!H20*1.54*($Q$2/100+1)</f>
        <v>1034.7378570374999</v>
      </c>
      <c r="I20" s="569">
        <f>'ЛП лоток перф (2)'!I20*1.8*($Q$2/100+1)</f>
        <v>990.72869444999981</v>
      </c>
      <c r="J20" s="569">
        <f>'ЛП лоток перф (2)'!J20*1.8*($Q$2/100+1)</f>
        <v>1260.9274292999999</v>
      </c>
      <c r="K20" s="569">
        <f>'ЛП лоток перф (2)'!K20*1.8*($Q$2/100+1)</f>
        <v>1797.0163794</v>
      </c>
      <c r="L20" s="578">
        <f>'ЛП лоток перф (2)'!L20*1.8*($Q$2/100+1)</f>
        <v>1805.8852151999997</v>
      </c>
      <c r="M20" s="578">
        <f>'ЛП лоток перф (2)'!M20*1.8*($Q$2/100+1)</f>
        <v>2626.7421312000001</v>
      </c>
      <c r="N20" s="578">
        <f>'ЛП лоток перф (2)'!N20*1.8*($Q$2/100+1)</f>
        <v>3283.4276639999998</v>
      </c>
      <c r="O20" s="578">
        <f>'ЛП лоток перф (2)'!O20*1.8*($Q$2/100+1)</f>
        <v>3940.1131968</v>
      </c>
      <c r="P20" s="578">
        <f>'ЛП лоток перф (2)'!P20*1.8*($Q$2/100+1)</f>
        <v>4925.1414959999993</v>
      </c>
    </row>
    <row r="21" spans="1:16" ht="16.3">
      <c r="A21" s="433" t="s">
        <v>3449</v>
      </c>
      <c r="B21" s="563">
        <f>'ЛП лоток перф (2)'!B21*1.55*($Q$2/100+1)</f>
        <v>298.15826039999996</v>
      </c>
      <c r="C21" s="563">
        <f>'ЛП лоток перф (2)'!C21*1.55*($Q$2/100+1)</f>
        <v>356.25527437499994</v>
      </c>
      <c r="D21" s="563">
        <f>'ЛП лоток перф (2)'!D21*1.55*($Q$2/100+1)</f>
        <v>411.06377812499994</v>
      </c>
      <c r="E21" s="563">
        <f>'ЛП лоток перф (2)'!E21*1.63*($Q$2/100+1)</f>
        <v>518.73596774999987</v>
      </c>
      <c r="F21" s="563">
        <f>'ЛП лоток перф (2)'!F21*1.54*($Q$2/100+1)</f>
        <v>599.00390550000009</v>
      </c>
      <c r="G21" s="563">
        <f>'ЛП лоток перф (2)'!G21*1.54*($Q$2/100+1)</f>
        <v>762.36860699999977</v>
      </c>
      <c r="H21" s="563">
        <f>'ЛП лоток перф (2)'!H21*1.54*($Q$2/100+1)</f>
        <v>1066.4782820999999</v>
      </c>
      <c r="I21" s="569">
        <f>'ЛП лоток перф (2)'!I21*1.8*($Q$2/100+1)</f>
        <v>1021.1191451999999</v>
      </c>
      <c r="J21" s="569">
        <f>'ЛП лоток перф (2)'!J21*1.8*($Q$2/100+1)</f>
        <v>1299.6061847999997</v>
      </c>
      <c r="K21" s="569">
        <f>'ЛП лоток перф (2)'!K21*1.8*($Q$2/100+1)</f>
        <v>1875.3997284</v>
      </c>
      <c r="L21" s="578">
        <f>'ЛП лоток перф (2)'!L21*1.8*($Q$2/100+1)</f>
        <v>1861.2804672000004</v>
      </c>
      <c r="M21" s="578">
        <f>'ЛП лоток перф (2)'!M21*1.8*($Q$2/100+1)</f>
        <v>2707.3170432000002</v>
      </c>
      <c r="N21" s="578">
        <f>'ЛП лоток перф (2)'!N21*1.8*($Q$2/100+1)</f>
        <v>3384.1463039999994</v>
      </c>
      <c r="O21" s="578">
        <f>'ЛП лоток перф (2)'!O21*1.8*($Q$2/100+1)</f>
        <v>4060.9755648</v>
      </c>
      <c r="P21" s="578">
        <f>'ЛП лоток перф (2)'!P21*1.8*($Q$2/100+1)</f>
        <v>5076.2194559999998</v>
      </c>
    </row>
    <row r="22" spans="1:16" ht="16.3">
      <c r="A22" s="433" t="s">
        <v>3450</v>
      </c>
      <c r="B22" s="563">
        <f>'ЛП лоток перф (2)'!B22*1.55*($Q$2/100+1)</f>
        <v>324.77953365000002</v>
      </c>
      <c r="C22" s="563">
        <f>'ЛП лоток перф (2)'!C22*1.55*($Q$2/100+1)</f>
        <v>388.06378101562507</v>
      </c>
      <c r="D22" s="563">
        <f>'ЛП лоток перф (2)'!D22*1.55*($Q$2/100+1)</f>
        <v>447.76590117187493</v>
      </c>
      <c r="E22" s="563">
        <f>'ЛП лоток перф (2)'!E22*1.63*($Q$2/100+1)</f>
        <v>565.05167915624997</v>
      </c>
      <c r="F22" s="563">
        <f>'ЛП лоток перф (2)'!F22*1.54*($Q$2/100+1)</f>
        <v>652.48639706250003</v>
      </c>
      <c r="G22" s="563">
        <f>'ЛП лоток перф (2)'!G22*1.54*($Q$2/100+1)</f>
        <v>830.43723262499987</v>
      </c>
      <c r="H22" s="563">
        <f>'ЛП лоток перф (2)'!H22*1.54*($Q$2/100+1)</f>
        <v>1161.6995572875001</v>
      </c>
      <c r="I22" s="569">
        <f>'ЛП лоток перф (2)'!I22*1.8*($Q$2/100+1)</f>
        <v>1112.2904974500002</v>
      </c>
      <c r="J22" s="569">
        <f>'ЛП лоток перф (2)'!J22*1.8*($Q$2/100+1)</f>
        <v>1415.6424512999999</v>
      </c>
      <c r="K22" s="569">
        <f>'ЛП лоток перф (2)'!K22*1.8*($Q$2/100+1)</f>
        <v>2000.9716254</v>
      </c>
      <c r="L22" s="578">
        <f>'ЛП лоток перф (2)'!L22*1.8*($Q$2/100+1)</f>
        <v>2027.4662232000001</v>
      </c>
      <c r="M22" s="578">
        <f>'ЛП лоток перф (2)'!M22*1.8*($Q$2/100+1)</f>
        <v>2949.0417791999998</v>
      </c>
      <c r="N22" s="578">
        <f>'ЛП лоток перф (2)'!N22*1.8*($Q$2/100+1)</f>
        <v>3686.302224</v>
      </c>
      <c r="O22" s="578">
        <f>'ЛП лоток перф (2)'!O22*1.8*($Q$2/100+1)</f>
        <v>4423.5626688000002</v>
      </c>
      <c r="P22" s="578">
        <f>'ЛП лоток перф (2)'!P22*1.8*($Q$2/100+1)</f>
        <v>5529.4533359999996</v>
      </c>
    </row>
    <row r="23" spans="1:16" ht="16.3">
      <c r="A23" s="433" t="s">
        <v>3451</v>
      </c>
      <c r="B23" s="563">
        <f>'ЛП лоток перф (2)'!B23*1.55*($Q$2/100+1)</f>
        <v>360.27456465</v>
      </c>
      <c r="C23" s="563">
        <f>'ЛП лоток перф (2)'!C23*1.55*($Q$2/100+1)</f>
        <v>430.47512320312495</v>
      </c>
      <c r="D23" s="563">
        <f>'ЛП лоток перф (2)'!D23*1.55*($Q$2/100+1)</f>
        <v>496.70206523437503</v>
      </c>
      <c r="E23" s="563">
        <f>'ЛП лоток перф (2)'!E23*1.63*($Q$2/100+1)</f>
        <v>626.80596103124992</v>
      </c>
      <c r="F23" s="563">
        <f>'ЛП лоток перф (2)'!F23*1.54*($Q$2/100+1)</f>
        <v>723.79638581250003</v>
      </c>
      <c r="G23" s="563">
        <f>'ЛП лоток перф (2)'!G23*1.54*($Q$2/100+1)</f>
        <v>921.19540012499988</v>
      </c>
      <c r="H23" s="563">
        <f>'ЛП лоток перф (2)'!H23*1.54*($Q$2/100+1)</f>
        <v>1288.6612575375</v>
      </c>
      <c r="I23" s="569">
        <f>'ЛП лоток перф (2)'!I23*1.8*($Q$2/100+1)</f>
        <v>1233.85230045</v>
      </c>
      <c r="J23" s="569">
        <f>'ЛП лоток перф (2)'!J23*1.8*($Q$2/100+1)</f>
        <v>1570.3574732999998</v>
      </c>
      <c r="K23" s="569">
        <f>'ЛП лоток перф (2)'!K23*1.8*($Q$2/100+1)</f>
        <v>2204.9268714000004</v>
      </c>
      <c r="L23" s="578">
        <f>'ЛП лоток перф (2)'!L23*1.8*($Q$2/100+1)</f>
        <v>2249.0472312000002</v>
      </c>
      <c r="M23" s="578">
        <f>'ЛП лоток перф (2)'!M23*1.8*($Q$2/100+1)</f>
        <v>3271.3414272000005</v>
      </c>
      <c r="N23" s="578">
        <f>'ЛП лоток перф (2)'!N23*1.8*($Q$2/100+1)</f>
        <v>4089.1767840000002</v>
      </c>
      <c r="O23" s="578">
        <f>'ЛП лоток перф (2)'!O23*1.8*($Q$2/100+1)</f>
        <v>4907.0121407999995</v>
      </c>
      <c r="P23" s="578">
        <f>'ЛП лоток перф (2)'!P23*1.8*($Q$2/100+1)</f>
        <v>6133.7651759999999</v>
      </c>
    </row>
    <row r="24" spans="1:16" ht="16.3">
      <c r="A24" s="433" t="s">
        <v>3452</v>
      </c>
      <c r="B24" s="557" t="s">
        <v>770</v>
      </c>
      <c r="C24" s="563">
        <f>'ЛП лоток перф (2)'!C24*1.55*($Q$2/100+1)</f>
        <v>536.50347867187497</v>
      </c>
      <c r="D24" s="563">
        <f>'ЛП лоток перф (2)'!D24*1.55*($Q$2/100+1)</f>
        <v>619.04247539062499</v>
      </c>
      <c r="E24" s="563">
        <f>'ЛП лоток перф (2)'!E24*1.63*($Q$2/100+1)</f>
        <v>781.19166571874996</v>
      </c>
      <c r="F24" s="563">
        <f>'ЛП лоток перф (2)'!F24*1.54*($Q$2/100+1)</f>
        <v>902.07135768750004</v>
      </c>
      <c r="G24" s="563">
        <f>'ЛП лоток перф (2)'!G24*1.54*($Q$2/100+1)</f>
        <v>1148.0908188749997</v>
      </c>
      <c r="H24" s="563">
        <f>'ЛП лоток перф (2)'!H24*1.54*($Q$2/100+1)</f>
        <v>1606.0655081625</v>
      </c>
      <c r="I24" s="569">
        <f>'ЛП лоток перф (2)'!I24*1.8*($Q$2/100+1)</f>
        <v>1537.7568079500004</v>
      </c>
      <c r="J24" s="569">
        <f>'ЛП лоток перф (2)'!J24*1.8*($Q$2/100+1)</f>
        <v>1957.1450282999999</v>
      </c>
      <c r="K24" s="569">
        <f>'ЛП лоток перф (2)'!K24*1.8*($Q$2/100+1)</f>
        <v>2638.1102814000001</v>
      </c>
      <c r="L24" s="579" t="s">
        <v>770</v>
      </c>
      <c r="M24" s="578">
        <f>'ЛП лоток перф (2)'!M24*1.8*($Q$2/100+1)</f>
        <v>4077.0905471999999</v>
      </c>
      <c r="N24" s="578">
        <f>'ЛП лоток перф (2)'!N24*1.8*($Q$2/100+1)</f>
        <v>5096.3631839999998</v>
      </c>
      <c r="O24" s="578">
        <f>'ЛП лоток перф (2)'!O24*1.8*($Q$2/100+1)</f>
        <v>6115.6358208000001</v>
      </c>
      <c r="P24" s="578">
        <f>'ЛП лоток перф (2)'!P24*1.8*($Q$2/100+1)</f>
        <v>7644.5447759999988</v>
      </c>
    </row>
    <row r="25" spans="1:16" ht="16.3">
      <c r="A25" s="433" t="s">
        <v>3453</v>
      </c>
      <c r="B25" s="557" t="s">
        <v>770</v>
      </c>
      <c r="C25" s="563">
        <f>'ЛП лоток перф (2)'!C25*1.55*($Q$2/100+1)</f>
        <v>642.53183414062494</v>
      </c>
      <c r="D25" s="563">
        <f>'ЛП лоток перф (2)'!D25*1.55*($Q$2/100+1)</f>
        <v>741.38288554687495</v>
      </c>
      <c r="E25" s="563">
        <f>'ЛП лоток перф (2)'!E25*1.63*($Q$2/100+1)</f>
        <v>935.57737040625</v>
      </c>
      <c r="F25" s="563">
        <f>'ЛП лоток перф (2)'!F25*1.54*($Q$2/100+1)</f>
        <v>1080.3463295624999</v>
      </c>
      <c r="G25" s="563">
        <f>'ЛП лоток перф (2)'!G25*1.54*($Q$2/100+1)</f>
        <v>1374.9862376249998</v>
      </c>
      <c r="H25" s="563">
        <f>'ЛП лоток перф (2)'!H25*1.54*($Q$2/100+1)</f>
        <v>1923.4697587874996</v>
      </c>
      <c r="I25" s="569">
        <f>'ЛП лоток перф (2)'!I25*1.8*($Q$2/100+1)</f>
        <v>1841.6613154499998</v>
      </c>
      <c r="J25" s="569">
        <f>'ЛП лоток перф (2)'!J25*1.8*($Q$2/100+1)</f>
        <v>2343.9325832999994</v>
      </c>
      <c r="K25" s="569">
        <f>'ЛП лоток перф (2)'!K25*1.8*($Q$2/100+1)</f>
        <v>3202.7874714</v>
      </c>
      <c r="L25" s="579" t="s">
        <v>770</v>
      </c>
      <c r="M25" s="578">
        <f>'ЛП лоток перф (2)'!M25*1.8*($Q$2/100+1)</f>
        <v>4882.8396671999999</v>
      </c>
      <c r="N25" s="578">
        <f>'ЛП лоток перф (2)'!N25*1.8*($Q$2/100+1)</f>
        <v>6103.5495840000003</v>
      </c>
      <c r="O25" s="578">
        <f>'ЛП лоток перф (2)'!O25*1.8*($Q$2/100+1)</f>
        <v>7324.2595007999989</v>
      </c>
      <c r="P25" s="578">
        <f>'ЛП лоток перф (2)'!P25*1.8*($Q$2/100+1)</f>
        <v>9155.3243759999987</v>
      </c>
    </row>
    <row r="26" spans="1:16" ht="16.3">
      <c r="A26" s="433" t="s">
        <v>3454</v>
      </c>
      <c r="B26" s="557" t="s">
        <v>770</v>
      </c>
      <c r="C26" s="563">
        <f>'ЛП лоток перф (2)'!C26*1.55*($Q$2/100+1)</f>
        <v>377.46094546874991</v>
      </c>
      <c r="D26" s="563">
        <f>'ЛП лоток перф (2)'!D26*1.55*($Q$2/100+1)</f>
        <v>435.53186015624999</v>
      </c>
      <c r="E26" s="563">
        <f>'ЛП лоток перф (2)'!E26*1.63*($Q$2/100+1)</f>
        <v>549.6131086874999</v>
      </c>
      <c r="F26" s="563">
        <f>'ЛП лоток перф (2)'!F26*1.54*($Q$2/100+1)</f>
        <v>634.65889987499997</v>
      </c>
      <c r="G26" s="563">
        <f>'ЛП лоток перф (2)'!G26*1.54*($Q$2/100+1)</f>
        <v>807.74769074999983</v>
      </c>
      <c r="H26" s="563">
        <f>'ЛП лоток перф (2)'!H26*1.54*($Q$2/100+1)</f>
        <v>1129.9591322249996</v>
      </c>
      <c r="I26" s="569">
        <f>'ЛП лоток перф (2)'!I26*1.8*($Q$2/100+1)</f>
        <v>1081.9000466999998</v>
      </c>
      <c r="J26" s="569">
        <f>'ЛП лоток перф (2)'!J26*1.8*($Q$2/100+1)</f>
        <v>1376.9636957999996</v>
      </c>
      <c r="K26" s="569">
        <f>'ЛП лоток перф (2)'!K26*1.8*($Q$2/100+1)</f>
        <v>2558.1415463999997</v>
      </c>
      <c r="L26" s="579" t="s">
        <v>770</v>
      </c>
      <c r="M26" s="578">
        <f>'ЛП лоток перф (2)'!M26*1.8*($Q$2/100+1)</f>
        <v>2868.4668671999998</v>
      </c>
      <c r="N26" s="578">
        <f>'ЛП лоток перф (2)'!N26*1.8*($Q$2/100+1)</f>
        <v>3585.5835839999995</v>
      </c>
      <c r="O26" s="578">
        <f>'ЛП лоток перф (2)'!O26*1.8*($Q$2/100+1)</f>
        <v>4302.7003007999983</v>
      </c>
      <c r="P26" s="578">
        <f>'ЛП лоток перф (2)'!P26*1.8*($Q$2/100+1)</f>
        <v>5378.375376</v>
      </c>
    </row>
    <row r="27" spans="1:16" ht="16.3">
      <c r="A27" s="433" t="s">
        <v>3455</v>
      </c>
      <c r="B27" s="557" t="s">
        <v>770</v>
      </c>
      <c r="C27" s="563">
        <f>'ЛП лоток перф (2)'!C27*1.55*($Q$2/100+1)</f>
        <v>441.07795874999999</v>
      </c>
      <c r="D27" s="563">
        <f>'ЛП лоток перф (2)'!D27*1.55*($Q$2/100+1)</f>
        <v>508.93610624999997</v>
      </c>
      <c r="E27" s="563">
        <f>'ЛП лоток перф (2)'!E27*1.63*($Q$2/100+1)</f>
        <v>642.24453149999988</v>
      </c>
      <c r="F27" s="563">
        <f>'ЛП лоток перф (2)'!F27*1.54*($Q$2/100+1)</f>
        <v>741.62388299999998</v>
      </c>
      <c r="G27" s="563">
        <f>'ЛП лоток перф (2)'!G27*1.54*($Q$2/100+1)</f>
        <v>943.88494199999968</v>
      </c>
      <c r="H27" s="563">
        <f>'ЛП лоток перф (2)'!H27*1.54*($Q$2/100+1)</f>
        <v>1320.4016825999997</v>
      </c>
      <c r="I27" s="569">
        <f>'ЛП лоток перф (2)'!I27*1.8*($Q$2/100+1)</f>
        <v>1264.2427511999997</v>
      </c>
      <c r="J27" s="569">
        <f>'ЛП лоток перф (2)'!J27*1.8*($Q$2/100+1)</f>
        <v>1609.0362287999994</v>
      </c>
      <c r="K27" s="569">
        <f>'ЛП лоток перф (2)'!K27*1.8*($Q$2/100+1)</f>
        <v>2217.5633303999998</v>
      </c>
      <c r="L27" s="579" t="s">
        <v>770</v>
      </c>
      <c r="M27" s="578">
        <f>'ЛП лоток перф (2)'!M27*1.8*($Q$2/100+1)</f>
        <v>3351.9163391999996</v>
      </c>
      <c r="N27" s="578">
        <f>'ЛП лоток перф (2)'!N27*1.8*($Q$2/100+1)</f>
        <v>4189.8954239999994</v>
      </c>
      <c r="O27" s="578">
        <f>'ЛП лоток перф (2)'!O27*1.8*($Q$2/100+1)</f>
        <v>5027.8745087999987</v>
      </c>
      <c r="P27" s="578">
        <f>'ЛП лоток перф (2)'!P27*1.8*($Q$2/100+1)</f>
        <v>6284.8431359999995</v>
      </c>
    </row>
    <row r="28" spans="1:16" ht="16.3">
      <c r="A28" s="433" t="s">
        <v>3456</v>
      </c>
      <c r="B28" s="557" t="s">
        <v>770</v>
      </c>
      <c r="C28" s="563">
        <f>'ЛП лоток перф (2)'!C28*1.55*($Q$2/100+1)</f>
        <v>483.48930093750005</v>
      </c>
      <c r="D28" s="563">
        <f>'ЛП лоток перф (2)'!D28*1.55*($Q$2/100+1)</f>
        <v>557.87227031249995</v>
      </c>
      <c r="E28" s="563">
        <f>'ЛП лоток перф (2)'!E28*1.63*($Q$2/100+1)</f>
        <v>703.99881337499994</v>
      </c>
      <c r="F28" s="563">
        <f>'ЛП лоток перф (2)'!F28*1.54*($Q$2/100+1)</f>
        <v>812.93387174999998</v>
      </c>
      <c r="G28" s="563">
        <f>'ЛП лоток перф (2)'!G28*1.54*($Q$2/100+1)</f>
        <v>1034.6431094999998</v>
      </c>
      <c r="H28" s="563">
        <f>'ЛП лоток перф (2)'!H28*1.54*($Q$2/100+1)</f>
        <v>1447.3633828499999</v>
      </c>
      <c r="I28" s="569">
        <f>'ЛП лоток перф (2)'!I28*1.8*($Q$2/100+1)</f>
        <v>1385.8045542</v>
      </c>
      <c r="J28" s="569">
        <f>'ЛП лоток перф (2)'!J28*1.8*($Q$2/100+1)</f>
        <v>1763.7512508000002</v>
      </c>
      <c r="K28" s="569">
        <f>'ЛП лоток перф (2)'!K28*1.8*($Q$2/100+1)</f>
        <v>2487.2654664000002</v>
      </c>
      <c r="L28" s="579" t="s">
        <v>770</v>
      </c>
      <c r="M28" s="578">
        <f>'ЛП лоток перф (2)'!M28*1.8*($Q$2/100+1)</f>
        <v>3674.2159872000007</v>
      </c>
      <c r="N28" s="578">
        <f>'ЛП лоток перф (2)'!N28*1.8*($Q$2/100+1)</f>
        <v>4592.7699840000005</v>
      </c>
      <c r="O28" s="578">
        <f>'ЛП лоток перф (2)'!O28*1.8*($Q$2/100+1)</f>
        <v>5511.3239807999998</v>
      </c>
      <c r="P28" s="578">
        <f>'ЛП лоток перф (2)'!P28*1.8*($Q$2/100+1)</f>
        <v>6889.1549760000025</v>
      </c>
    </row>
    <row r="29" spans="1:16" ht="16.3">
      <c r="A29" s="433" t="s">
        <v>3457</v>
      </c>
      <c r="B29" s="557" t="s">
        <v>770</v>
      </c>
      <c r="C29" s="563">
        <f>'ЛП лоток перф (2)'!C29*1.55*($Q$2/100+1)</f>
        <v>430.47512320312495</v>
      </c>
      <c r="D29" s="563">
        <f>'ЛП лоток перф (2)'!D29*1.55*($Q$2/100+1)</f>
        <v>496.70206523437503</v>
      </c>
      <c r="E29" s="563">
        <f>'ЛП лоток перф (2)'!E29*1.63*($Q$2/100+1)</f>
        <v>626.80596103124992</v>
      </c>
      <c r="F29" s="563">
        <f>'ЛП лоток перф (2)'!F29*1.54*($Q$2/100+1)</f>
        <v>723.79638581250003</v>
      </c>
      <c r="G29" s="563">
        <f>'ЛП лоток перф (2)'!G29*1.54*($Q$2/100+1)</f>
        <v>921.19540012499988</v>
      </c>
      <c r="H29" s="563">
        <f>'ЛП лоток перф (2)'!H29*1.54*($Q$2/100+1)</f>
        <v>1288.6612575375</v>
      </c>
      <c r="I29" s="569">
        <f>'ЛП лоток перф (2)'!I29*1.8*($Q$2/100+1)</f>
        <v>1233.85230045</v>
      </c>
      <c r="J29" s="569">
        <f>'ЛП лоток перф (2)'!J29*1.8*($Q$2/100+1)</f>
        <v>1570.3574732999998</v>
      </c>
      <c r="K29" s="569">
        <f>'ЛП лоток перф (2)'!K29*1.8*($Q$2/100+1)</f>
        <v>2402.1675414000001</v>
      </c>
      <c r="L29" s="579" t="s">
        <v>770</v>
      </c>
      <c r="M29" s="578">
        <f>'ЛП лоток перф (2)'!M29*1.8*($Q$2/100+1)</f>
        <v>3271.3414272000005</v>
      </c>
      <c r="N29" s="578">
        <f>'ЛП лоток перф (2)'!N29*1.8*($Q$2/100+1)</f>
        <v>4089.1767840000002</v>
      </c>
      <c r="O29" s="578">
        <f>'ЛП лоток перф (2)'!O29*1.8*($Q$2/100+1)</f>
        <v>4907.0121407999995</v>
      </c>
      <c r="P29" s="578">
        <f>'ЛП лоток перф (2)'!P29*1.8*($Q$2/100+1)</f>
        <v>6133.7651759999999</v>
      </c>
    </row>
    <row r="30" spans="1:16" ht="16.3">
      <c r="A30" s="433" t="s">
        <v>3458</v>
      </c>
      <c r="B30" s="557" t="s">
        <v>770</v>
      </c>
      <c r="C30" s="563">
        <f>'ЛП лоток перф (2)'!C30*1.55*($Q$2/100+1)</f>
        <v>451.68079429687498</v>
      </c>
      <c r="D30" s="563">
        <f>'ЛП лоток перф (2)'!D30*1.55*($Q$2/100+1)</f>
        <v>521.17014726562502</v>
      </c>
      <c r="E30" s="563">
        <f>'ЛП лоток перф (2)'!E30*1.63*($Q$2/100+1)</f>
        <v>657.68310196874984</v>
      </c>
      <c r="F30" s="563">
        <f>'ЛП лоток перф (2)'!F30*1.54*($Q$2/100+1)</f>
        <v>759.45138018749992</v>
      </c>
      <c r="G30" s="563">
        <f>'ЛП лоток перф (2)'!G30*1.54*($Q$2/100+1)</f>
        <v>966.57448387499971</v>
      </c>
      <c r="H30" s="563">
        <f>'ЛП лоток перф (2)'!H30*1.54*($Q$2/100+1)</f>
        <v>1352.1421076624999</v>
      </c>
      <c r="I30" s="569">
        <f>'ЛП лоток перф (2)'!I30*1.8*($Q$2/100+1)</f>
        <v>1294.6332019499998</v>
      </c>
      <c r="J30" s="569">
        <f>'ЛП лоток перф (2)'!J30*1.8*($Q$2/100+1)</f>
        <v>1647.7149842999997</v>
      </c>
      <c r="K30" s="569">
        <f>'ЛП лоток перф (2)'!K30*1.8*($Q$2/100+1)</f>
        <v>2361.6935693999999</v>
      </c>
      <c r="L30" s="579" t="s">
        <v>770</v>
      </c>
      <c r="M30" s="578">
        <f>'ЛП лоток перф (2)'!M30*1.8*($Q$2/100+1)</f>
        <v>3432.4912511999996</v>
      </c>
      <c r="N30" s="578">
        <f>'ЛП лоток перф (2)'!N30*1.8*($Q$2/100+1)</f>
        <v>4290.6140639999994</v>
      </c>
      <c r="O30" s="578">
        <f>'ЛП лоток перф (2)'!O30*1.8*($Q$2/100+1)</f>
        <v>5148.7368767999997</v>
      </c>
      <c r="P30" s="578">
        <f>'ЛП лоток перф (2)'!P30*1.8*($Q$2/100+1)</f>
        <v>6435.9210959999991</v>
      </c>
    </row>
    <row r="31" spans="1:16" ht="16.3">
      <c r="A31" s="433" t="s">
        <v>3459</v>
      </c>
      <c r="B31" s="557" t="s">
        <v>770</v>
      </c>
      <c r="C31" s="563">
        <f>'ЛП лоток перф (2)'!C31*1.55*($Q$2/100+1)</f>
        <v>462.28362984374991</v>
      </c>
      <c r="D31" s="563">
        <f>'ЛП лоток перф (2)'!D31*1.55*($Q$2/100+1)</f>
        <v>533.40418828124996</v>
      </c>
      <c r="E31" s="563">
        <f>'ЛП лоток перф (2)'!E31*1.63*($Q$2/100+1)</f>
        <v>673.12167243749991</v>
      </c>
      <c r="F31" s="563">
        <f>'ЛП лоток перф (2)'!F31*1.54*($Q$2/100+1)</f>
        <v>777.27887737499998</v>
      </c>
      <c r="G31" s="563">
        <f>'ЛП лоток перф (2)'!G31*1.54*($Q$2/100+1)</f>
        <v>989.26402574999986</v>
      </c>
      <c r="H31" s="563">
        <f>'ЛП лоток перф (2)'!H31*1.54*($Q$2/100+1)</f>
        <v>1383.8825327249997</v>
      </c>
      <c r="I31" s="569">
        <f>'ЛП лоток перф (2)'!I31*1.8*($Q$2/100+1)</f>
        <v>1325.0236527000002</v>
      </c>
      <c r="J31" s="569">
        <f>'ЛП лоток перф (2)'!J31*1.8*($Q$2/100+1)</f>
        <v>1686.3937397999996</v>
      </c>
      <c r="K31" s="569">
        <f>'ЛП лоток перф (2)'!K31*1.8*($Q$2/100+1)</f>
        <v>2440.0769184000001</v>
      </c>
      <c r="L31" s="579" t="s">
        <v>770</v>
      </c>
      <c r="M31" s="578">
        <f>'ЛП лоток перф (2)'!M31*1.8*($Q$2/100+1)</f>
        <v>3513.0661632000001</v>
      </c>
      <c r="N31" s="578">
        <f>'ЛП лоток перф (2)'!N31*1.8*($Q$2/100+1)</f>
        <v>4391.3327039999995</v>
      </c>
      <c r="O31" s="578">
        <f>'ЛП лоток перф (2)'!O31*1.8*($Q$2/100+1)</f>
        <v>5269.5992447999988</v>
      </c>
      <c r="P31" s="578">
        <f>'ЛП лоток перф (2)'!P31*1.8*($Q$2/100+1)</f>
        <v>6586.9990559999987</v>
      </c>
    </row>
    <row r="32" spans="1:16" ht="16.3">
      <c r="A32" s="433" t="s">
        <v>3460</v>
      </c>
      <c r="B32" s="557" t="s">
        <v>770</v>
      </c>
      <c r="C32" s="563">
        <f>'ЛП лоток перф (2)'!C32*1.55*($Q$2/100+1)</f>
        <v>494.09213648437503</v>
      </c>
      <c r="D32" s="563">
        <f>'ЛП лоток перф (2)'!D32*1.55*($Q$2/100+1)</f>
        <v>570.106311328125</v>
      </c>
      <c r="E32" s="563">
        <f>'ЛП лоток перф (2)'!E32*1.63*($Q$2/100+1)</f>
        <v>719.43738384375001</v>
      </c>
      <c r="F32" s="563">
        <f>'ЛП лоток перф (2)'!F32*1.54*($Q$2/100+1)</f>
        <v>830.76136893750004</v>
      </c>
      <c r="G32" s="563">
        <f>'ЛП лоток перф (2)'!G32*1.54*($Q$2/100+1)</f>
        <v>1057.3326513749998</v>
      </c>
      <c r="H32" s="563">
        <f>'ЛП лоток перф (2)'!H32*1.54*($Q$2/100+1)</f>
        <v>1479.1038079124999</v>
      </c>
      <c r="I32" s="569">
        <f>'ЛП лоток перф (2)'!I32*1.8*($Q$2/100+1)</f>
        <v>1416.1950049500001</v>
      </c>
      <c r="J32" s="569">
        <f>'ЛП лоток перф (2)'!J32*1.8*($Q$2/100+1)</f>
        <v>1802.4300063000001</v>
      </c>
      <c r="K32" s="569">
        <f>'ЛП лоток перф (2)'!K32*1.8*($Q$2/100+1)</f>
        <v>2565.6488153999999</v>
      </c>
      <c r="L32" s="579" t="s">
        <v>770</v>
      </c>
      <c r="M32" s="578">
        <f>'ЛП лоток перф (2)'!M32*1.8*($Q$2/100+1)</f>
        <v>3754.7908992000011</v>
      </c>
      <c r="N32" s="578">
        <f>'ЛП лоток перф (2)'!N32*1.8*($Q$2/100+1)</f>
        <v>4693.4886240000005</v>
      </c>
      <c r="O32" s="578">
        <f>'ЛП лоток перф (2)'!O32*1.8*($Q$2/100+1)</f>
        <v>5632.1863487999999</v>
      </c>
      <c r="P32" s="578">
        <f>'ЛП лоток перф (2)'!P32*1.8*($Q$2/100+1)</f>
        <v>7040.2329360000003</v>
      </c>
    </row>
    <row r="33" spans="1:16" ht="16.3">
      <c r="A33" s="433" t="s">
        <v>3461</v>
      </c>
      <c r="B33" s="557" t="s">
        <v>770</v>
      </c>
      <c r="C33" s="563">
        <f>'ЛП лоток перф (2)'!C33*1.55*($Q$2/100+1)</f>
        <v>536.50347867187497</v>
      </c>
      <c r="D33" s="563">
        <f>'ЛП лоток перф (2)'!D33*1.55*($Q$2/100+1)</f>
        <v>619.04247539062499</v>
      </c>
      <c r="E33" s="563">
        <f>'ЛП лоток перф (2)'!E33*1.63*($Q$2/100+1)</f>
        <v>781.19166571874996</v>
      </c>
      <c r="F33" s="563">
        <f>'ЛП лоток перф (2)'!F33*1.54*($Q$2/100+1)</f>
        <v>902.07135768750004</v>
      </c>
      <c r="G33" s="563">
        <f>'ЛП лоток перф (2)'!G33*1.54*($Q$2/100+1)</f>
        <v>1148.0908188749997</v>
      </c>
      <c r="H33" s="563">
        <f>'ЛП лоток перф (2)'!H33*1.54*($Q$2/100+1)</f>
        <v>1606.0655081625</v>
      </c>
      <c r="I33" s="569">
        <f>'ЛП лоток перф (2)'!I33*1.8*($Q$2/100+1)</f>
        <v>1537.7568079500004</v>
      </c>
      <c r="J33" s="569">
        <f>'ЛП лоток перф (2)'!J33*1.8*($Q$2/100+1)</f>
        <v>1957.1450282999999</v>
      </c>
      <c r="K33" s="569">
        <f>'ЛП лоток перф (2)'!K33*1.8*($Q$2/100+1)</f>
        <v>2769.6040613999999</v>
      </c>
      <c r="L33" s="579" t="s">
        <v>770</v>
      </c>
      <c r="M33" s="578">
        <f>'ЛП лоток перф (2)'!M33*1.8*($Q$2/100+1)</f>
        <v>4077.0905471999999</v>
      </c>
      <c r="N33" s="578">
        <f>'ЛП лоток перф (2)'!N33*1.8*($Q$2/100+1)</f>
        <v>5096.3631839999998</v>
      </c>
      <c r="O33" s="578">
        <f>'ЛП лоток перф (2)'!O33*1.8*($Q$2/100+1)</f>
        <v>6115.6358208000001</v>
      </c>
      <c r="P33" s="578">
        <f>'ЛП лоток перф (2)'!P33*1.8*($Q$2/100+1)</f>
        <v>7644.5447759999988</v>
      </c>
    </row>
    <row r="34" spans="1:16" ht="16.3">
      <c r="A34" s="433" t="s">
        <v>3462</v>
      </c>
      <c r="B34" s="557" t="s">
        <v>770</v>
      </c>
      <c r="C34" s="563">
        <f>'ЛП лоток перф (2)'!C34*1.55*($Q$2/100+1)</f>
        <v>642.53183414062494</v>
      </c>
      <c r="D34" s="563">
        <f>'ЛП лоток перф (2)'!D34*1.55*($Q$2/100+1)</f>
        <v>741.38288554687495</v>
      </c>
      <c r="E34" s="563">
        <f>'ЛП лоток перф (2)'!E34*1.63*($Q$2/100+1)</f>
        <v>935.57737040625</v>
      </c>
      <c r="F34" s="563">
        <f>'ЛП лоток перф (2)'!F34*1.54*($Q$2/100+1)</f>
        <v>1080.3463295624999</v>
      </c>
      <c r="G34" s="563">
        <f>'ЛП лоток перф (2)'!G34*1.54*($Q$2/100+1)</f>
        <v>1374.9862376249998</v>
      </c>
      <c r="H34" s="563">
        <f>'ЛП лоток перф (2)'!H34*1.54*($Q$2/100+1)</f>
        <v>1923.4697587874996</v>
      </c>
      <c r="I34" s="569">
        <f>'ЛП лоток перф (2)'!I34*1.8*($Q$2/100+1)</f>
        <v>1841.6613154499998</v>
      </c>
      <c r="J34" s="569">
        <f>'ЛП лоток перф (2)'!J34*1.8*($Q$2/100+1)</f>
        <v>2343.9325832999994</v>
      </c>
      <c r="K34" s="569">
        <f>'ЛП лоток перф (2)'!K34*1.8*($Q$2/100+1)</f>
        <v>3202.7874714</v>
      </c>
      <c r="L34" s="579" t="s">
        <v>770</v>
      </c>
      <c r="M34" s="578">
        <f>'ЛП лоток перф (2)'!M34*1.8*($Q$2/100+1)</f>
        <v>4882.8396671999999</v>
      </c>
      <c r="N34" s="578">
        <f>'ЛП лоток перф (2)'!N34*1.8*($Q$2/100+1)</f>
        <v>6103.5495840000003</v>
      </c>
      <c r="O34" s="578">
        <f>'ЛП лоток перф (2)'!O34*1.8*($Q$2/100+1)</f>
        <v>7324.2595007999989</v>
      </c>
      <c r="P34" s="578">
        <f>'ЛП лоток перф (2)'!P34*1.8*($Q$2/100+1)</f>
        <v>9155.3243759999987</v>
      </c>
    </row>
    <row r="35" spans="1:16" ht="16.3">
      <c r="A35" s="433" t="s">
        <v>3463</v>
      </c>
      <c r="B35" s="557" t="s">
        <v>770</v>
      </c>
      <c r="C35" s="563">
        <f>'ЛП лоток перф (2)'!C35*1.55*($Q$2/100+1)</f>
        <v>748.56018960937502</v>
      </c>
      <c r="D35" s="563">
        <f>'ЛП лоток перф (2)'!D35*1.55*($Q$2/100+1)</f>
        <v>863.72329570312513</v>
      </c>
      <c r="E35" s="563">
        <f>'ЛП лоток перф (2)'!E35*1.63*($Q$2/100+1)</f>
        <v>1089.9630750937499</v>
      </c>
      <c r="F35" s="563">
        <f>'ЛП лоток перф (2)'!F35*1.54*($Q$2/100+1)</f>
        <v>1258.6213014374998</v>
      </c>
      <c r="G35" s="563">
        <f>'ЛП лоток перф (2)'!G35*1.54*($Q$2/100+1)</f>
        <v>1601.8816563749997</v>
      </c>
      <c r="H35" s="563">
        <f>'ЛП лоток перф (2)'!H35*1.54*($Q$2/100+1)</f>
        <v>2240.8740094124996</v>
      </c>
      <c r="I35" s="569">
        <f>'ЛП лоток перф (2)'!I35*1.8*($Q$2/100+1)</f>
        <v>2145.56582295</v>
      </c>
      <c r="J35" s="569">
        <f>'ЛП лоток перф (2)'!J35*1.8*($Q$2/100+1)</f>
        <v>2730.7201382999997</v>
      </c>
      <c r="K35" s="569">
        <f>'ЛП лоток перф (2)'!K35*1.8*($Q$2/100+1)</f>
        <v>3767.4646613999998</v>
      </c>
      <c r="L35" s="579" t="s">
        <v>770</v>
      </c>
      <c r="M35" s="578">
        <f>'ЛП лоток перф (2)'!M35*1.8*($Q$2/100+1)</f>
        <v>5688.5887871999994</v>
      </c>
      <c r="N35" s="578">
        <f>'ЛП лоток перф (2)'!N35*1.8*($Q$2/100+1)</f>
        <v>7110.7359839999999</v>
      </c>
      <c r="O35" s="578">
        <f>'ЛП лоток перф (2)'!O35*1.8*($Q$2/100+1)</f>
        <v>8532.8831807999995</v>
      </c>
      <c r="P35" s="578">
        <f>'ЛП лоток перф (2)'!P35*1.8*($Q$2/100+1)</f>
        <v>10666.103976</v>
      </c>
    </row>
    <row r="36" spans="1:16" ht="16.3">
      <c r="A36" s="433" t="s">
        <v>3464</v>
      </c>
      <c r="B36" s="557" t="s">
        <v>770</v>
      </c>
      <c r="C36" s="563">
        <f>'ЛП лоток перф (2)'!C36*1.55*($Q$2/100+1)</f>
        <v>536.50347867187497</v>
      </c>
      <c r="D36" s="563">
        <f>'ЛП лоток перф (2)'!D36*1.55*($Q$2/100+1)</f>
        <v>619.04247539062499</v>
      </c>
      <c r="E36" s="563">
        <f>'ЛП лоток перф (2)'!E36*1.63*($Q$2/100+1)</f>
        <v>781.19166571874996</v>
      </c>
      <c r="F36" s="563">
        <f>'ЛП лоток перф (2)'!F36*1.54*($Q$2/100+1)</f>
        <v>902.07135768750004</v>
      </c>
      <c r="G36" s="563">
        <f>'ЛП лоток перф (2)'!G36*1.54*($Q$2/100+1)</f>
        <v>1148.0908188749997</v>
      </c>
      <c r="H36" s="563">
        <f>'ЛП лоток перф (2)'!H36*1.54*($Q$2/100+1)</f>
        <v>1606.0655081625</v>
      </c>
      <c r="I36" s="569">
        <f>'ЛП лоток перф (2)'!I36*1.8*($Q$2/100+1)</f>
        <v>1537.7568079500004</v>
      </c>
      <c r="J36" s="569">
        <f>'ЛП лоток перф (2)'!J36*1.8*($Q$2/100+1)</f>
        <v>1957.1450282999999</v>
      </c>
      <c r="K36" s="569">
        <f>'ЛП лоток перф (2)'!K36*1.8*($Q$2/100+1)</f>
        <v>3295.5791813999999</v>
      </c>
      <c r="L36" s="579" t="s">
        <v>770</v>
      </c>
      <c r="M36" s="578">
        <f>'ЛП лоток перф (2)'!M36*1.8*($Q$2/100+1)</f>
        <v>4077.0905471999999</v>
      </c>
      <c r="N36" s="578">
        <f>'ЛП лоток перф (2)'!N36*1.8*($Q$2/100+1)</f>
        <v>5096.3631839999998</v>
      </c>
      <c r="O36" s="578">
        <f>'ЛП лоток перф (2)'!O36*1.8*($Q$2/100+1)</f>
        <v>6115.6358208000001</v>
      </c>
      <c r="P36" s="578">
        <f>'ЛП лоток перф (2)'!P36*1.8*($Q$2/100+1)</f>
        <v>7644.5447759999988</v>
      </c>
    </row>
    <row r="37" spans="1:16" ht="16.3">
      <c r="A37" s="433" t="s">
        <v>3465</v>
      </c>
      <c r="B37" s="557" t="s">
        <v>770</v>
      </c>
      <c r="C37" s="563">
        <f>'ЛП лоток перф (2)'!C37*1.55*($Q$2/100+1)</f>
        <v>557.70914976562506</v>
      </c>
      <c r="D37" s="563">
        <f>'ЛП лоток перф (2)'!D37*1.55*($Q$2/100+1)</f>
        <v>643.51055742187486</v>
      </c>
      <c r="E37" s="563">
        <f>'ЛП лоток перф (2)'!E37*1.63*($Q$2/100+1)</f>
        <v>812.06880665624999</v>
      </c>
      <c r="F37" s="563">
        <f>'ЛП лоток перф (2)'!F37*1.54*($Q$2/100+1)</f>
        <v>937.72635206250004</v>
      </c>
      <c r="G37" s="563">
        <f>'ЛП лоток перф (2)'!G37*1.54*($Q$2/100+1)</f>
        <v>1193.469902625</v>
      </c>
      <c r="H37" s="563">
        <f>'ЛП лоток перф (2)'!H37*1.54*($Q$2/100+1)</f>
        <v>1669.5463582875</v>
      </c>
      <c r="I37" s="569">
        <f>'ЛП лоток перф (2)'!I37*1.8*($Q$2/100+1)</f>
        <v>1598.5377094500002</v>
      </c>
      <c r="J37" s="569">
        <f>'ЛП лоток перф (2)'!J37*1.8*($Q$2/100+1)</f>
        <v>2034.5025392999996</v>
      </c>
      <c r="K37" s="569">
        <f>'ЛП лоток перф (2)'!K37*1.8*($Q$2/100+1)</f>
        <v>2926.3707594000002</v>
      </c>
      <c r="L37" s="579" t="s">
        <v>770</v>
      </c>
      <c r="M37" s="578">
        <f>'ЛП лоток перф (2)'!M37*1.8*($Q$2/100+1)</f>
        <v>4238.2403711999996</v>
      </c>
      <c r="N37" s="578">
        <f>'ЛП лоток перф (2)'!N37*1.8*($Q$2/100+1)</f>
        <v>5297.8004640000008</v>
      </c>
      <c r="O37" s="578">
        <f>'ЛП лоток перф (2)'!O37*1.8*($Q$2/100+1)</f>
        <v>6357.3605568000012</v>
      </c>
      <c r="P37" s="578">
        <f>'ЛП лоток перф (2)'!P37*1.8*($Q$2/100+1)</f>
        <v>7946.7006959999999</v>
      </c>
    </row>
    <row r="38" spans="1:16" ht="16.3">
      <c r="A38" s="433" t="s">
        <v>3594</v>
      </c>
      <c r="B38" s="557" t="s">
        <v>770</v>
      </c>
      <c r="C38" s="563">
        <f>'ЛП лоток перф (2)'!C38*1.55*($Q$2/100+1)</f>
        <v>568.31198531250004</v>
      </c>
      <c r="D38" s="563">
        <f>'ЛП лоток перф (2)'!D38*1.55*($Q$2/100+1)</f>
        <v>655.74459843749992</v>
      </c>
      <c r="E38" s="563">
        <f>'ЛП лоток перф (2)'!E38*1.63*($Q$2/100+1)</f>
        <v>827.50737712499995</v>
      </c>
      <c r="F38" s="563">
        <f>'ЛП лоток перф (2)'!F38*1.54*($Q$2/100+1)</f>
        <v>955.55384925000021</v>
      </c>
      <c r="G38" s="563">
        <f>'ЛП лоток перф (2)'!G38*1.54*($Q$2/100+1)</f>
        <v>1216.1594444999998</v>
      </c>
      <c r="H38" s="563">
        <f>'ЛП лоток перф (2)'!H38*1.54*($Q$2/100+1)</f>
        <v>1701.28678335</v>
      </c>
      <c r="I38" s="569">
        <f>'ЛП лоток перф (2)'!I38*1.8*($Q$2/100+1)</f>
        <v>1628.9281601999999</v>
      </c>
      <c r="J38" s="569">
        <f>'ЛП лоток перф (2)'!J38*1.8*($Q$2/100+1)</f>
        <v>2073.1812948000002</v>
      </c>
      <c r="K38" s="569">
        <f>'ЛП лоток перф (2)'!K38*1.8*($Q$2/100+1)</f>
        <v>3004.7541084000004</v>
      </c>
      <c r="L38" s="579" t="s">
        <v>770</v>
      </c>
      <c r="M38" s="578">
        <f>'ЛП лоток перф (2)'!M38*1.8*($Q$2/100+1)</f>
        <v>4318.8152832000005</v>
      </c>
      <c r="N38" s="578">
        <f>'ЛП лоток перф (2)'!N38*1.8*($Q$2/100+1)</f>
        <v>5398.5191040000009</v>
      </c>
      <c r="O38" s="578">
        <f>'ЛП лоток перф (2)'!O38*1.8*($Q$2/100+1)</f>
        <v>6478.2229248000003</v>
      </c>
      <c r="P38" s="578">
        <f>'ЛП лоток перф (2)'!P38*1.8*($Q$2/100+1)</f>
        <v>8097.7786560000013</v>
      </c>
    </row>
    <row r="39" spans="1:16" ht="16.3">
      <c r="A39" s="433" t="s">
        <v>3466</v>
      </c>
      <c r="B39" s="557" t="s">
        <v>770</v>
      </c>
      <c r="C39" s="563">
        <f>'ЛП лоток перф (2)'!C39*1.55*($Q$2/100+1)</f>
        <v>600.12049195312488</v>
      </c>
      <c r="D39" s="563">
        <f>'ЛП лоток перф (2)'!D39*1.55*($Q$2/100+1)</f>
        <v>692.44672148437485</v>
      </c>
      <c r="E39" s="563">
        <f>'ЛП лоток перф (2)'!E39*1.63*($Q$2/100+1)</f>
        <v>873.82308853124994</v>
      </c>
      <c r="F39" s="563">
        <f>'ЛП лоток перф (2)'!F39*1.54*($Q$2/100+1)</f>
        <v>1009.0363408124999</v>
      </c>
      <c r="G39" s="563">
        <f>'ЛП лоток перф (2)'!G39*1.54*($Q$2/100+1)</f>
        <v>1284.2280701249997</v>
      </c>
      <c r="H39" s="563">
        <f>'ЛП лоток перф (2)'!H39*1.54*($Q$2/100+1)</f>
        <v>1796.5080585374997</v>
      </c>
      <c r="I39" s="569">
        <f>'ЛП лоток перф (2)'!I39*1.8*($Q$2/100+1)</f>
        <v>1720.09951245</v>
      </c>
      <c r="J39" s="569">
        <f>'ЛП лоток перф (2)'!J39*1.8*($Q$2/100+1)</f>
        <v>2189.2175612999995</v>
      </c>
      <c r="K39" s="569">
        <f>'ЛП лоток перф (2)'!K39*1.8*($Q$2/100+1)</f>
        <v>3130.3260053999998</v>
      </c>
      <c r="L39" s="579" t="s">
        <v>770</v>
      </c>
      <c r="M39" s="578">
        <f>'ЛП лоток перф (2)'!M39*1.8*($Q$2/100+1)</f>
        <v>4560.5400191999997</v>
      </c>
      <c r="N39" s="578">
        <f>'ЛП лоток перф (2)'!N39*1.8*($Q$2/100+1)</f>
        <v>5700.6750239999992</v>
      </c>
      <c r="O39" s="578">
        <f>'ЛП лоток перф (2)'!O39*1.8*($Q$2/100+1)</f>
        <v>6840.8100287999987</v>
      </c>
      <c r="P39" s="578">
        <f>'ЛП лоток перф (2)'!P39*1.8*($Q$2/100+1)</f>
        <v>8551.0125359999984</v>
      </c>
    </row>
    <row r="40" spans="1:16" ht="16.3">
      <c r="A40" s="433" t="s">
        <v>3467</v>
      </c>
      <c r="B40" s="557" t="s">
        <v>770</v>
      </c>
      <c r="C40" s="563">
        <f>'ЛП лоток перф (2)'!C40*1.55*($Q$2/100+1)</f>
        <v>642.53183414062494</v>
      </c>
      <c r="D40" s="563">
        <f>'ЛП лоток перф (2)'!D40*1.55*($Q$2/100+1)</f>
        <v>741.38288554687495</v>
      </c>
      <c r="E40" s="563">
        <f>'ЛП лоток перф (2)'!E40*1.63*($Q$2/100+1)</f>
        <v>935.57737040625</v>
      </c>
      <c r="F40" s="563">
        <f>'ЛП лоток перф (2)'!F40*1.54*($Q$2/100+1)</f>
        <v>1080.3463295624999</v>
      </c>
      <c r="G40" s="563">
        <f>'ЛП лоток перф (2)'!G40*1.54*($Q$2/100+1)</f>
        <v>1374.9862376249998</v>
      </c>
      <c r="H40" s="563">
        <f>'ЛП лоток перф (2)'!H40*1.54*($Q$2/100+1)</f>
        <v>1923.4697587874996</v>
      </c>
      <c r="I40" s="569">
        <f>'ЛП лоток перф (2)'!I40*1.8*($Q$2/100+1)</f>
        <v>1841.6613154499998</v>
      </c>
      <c r="J40" s="569">
        <f>'ЛП лоток перф (2)'!J40*1.8*($Q$2/100+1)</f>
        <v>2343.9325832999994</v>
      </c>
      <c r="K40" s="569">
        <f>'ЛП лоток перф (2)'!K40*1.8*($Q$2/100+1)</f>
        <v>3334.2812514000002</v>
      </c>
      <c r="L40" s="579" t="s">
        <v>770</v>
      </c>
      <c r="M40" s="578">
        <f>'ЛП лоток перф (2)'!M40*1.8*($Q$2/100+1)</f>
        <v>4882.8396671999999</v>
      </c>
      <c r="N40" s="578">
        <f>'ЛП лоток перф (2)'!N40*1.8*($Q$2/100+1)</f>
        <v>6103.5495840000003</v>
      </c>
      <c r="O40" s="578">
        <f>'ЛП лоток перф (2)'!O40*1.8*($Q$2/100+1)</f>
        <v>7324.2595007999989</v>
      </c>
      <c r="P40" s="578">
        <f>'ЛП лоток перф (2)'!P40*1.8*($Q$2/100+1)</f>
        <v>9155.3243759999987</v>
      </c>
    </row>
    <row r="41" spans="1:16" ht="16.3">
      <c r="A41" s="433" t="s">
        <v>3468</v>
      </c>
      <c r="B41" s="557" t="s">
        <v>770</v>
      </c>
      <c r="C41" s="560" t="s">
        <v>770</v>
      </c>
      <c r="D41" s="563">
        <f>'ЛП лоток перф (2)'!D41*1.55*($Q$2/100+1)</f>
        <v>863.72329570312513</v>
      </c>
      <c r="E41" s="563">
        <f>'ЛП лоток перф (2)'!E41*1.63*($Q$2/100+1)</f>
        <v>1089.9630750937499</v>
      </c>
      <c r="F41" s="563">
        <f>'ЛП лоток перф (2)'!F41*1.54*($Q$2/100+1)</f>
        <v>1258.6213014374998</v>
      </c>
      <c r="G41" s="563">
        <f>'ЛП лоток перф (2)'!G41*1.54*($Q$2/100+1)</f>
        <v>1601.8816563749997</v>
      </c>
      <c r="H41" s="563">
        <f>'ЛП лоток перф (2)'!H41*1.54*($Q$2/100+1)</f>
        <v>2240.8740094124996</v>
      </c>
      <c r="I41" s="569">
        <f>'ЛП лоток перф (2)'!I41*1.8*($Q$2/100+1)</f>
        <v>2145.56582295</v>
      </c>
      <c r="J41" s="569">
        <f>'ЛП лоток перф (2)'!J41*1.8*($Q$2/100+1)</f>
        <v>2730.7201382999997</v>
      </c>
      <c r="K41" s="569">
        <f>'ЛП лоток перф (2)'!K41*1.8*($Q$2/100+1)</f>
        <v>3767.4646613999998</v>
      </c>
      <c r="L41" s="579" t="s">
        <v>770</v>
      </c>
      <c r="M41" s="578">
        <f>'ЛП лоток перф (2)'!M41*1.8*($Q$2/100+1)</f>
        <v>5688.5887871999994</v>
      </c>
      <c r="N41" s="578">
        <f>'ЛП лоток перф (2)'!N41*1.8*($Q$2/100+1)</f>
        <v>7110.7359839999999</v>
      </c>
      <c r="O41" s="578">
        <f>'ЛП лоток перф (2)'!O41*1.8*($Q$2/100+1)</f>
        <v>8532.8831807999995</v>
      </c>
      <c r="P41" s="578">
        <f>'ЛП лоток перф (2)'!P41*1.8*($Q$2/100+1)</f>
        <v>10666.103976</v>
      </c>
    </row>
    <row r="42" spans="1:16" ht="16.3">
      <c r="A42" s="433" t="s">
        <v>3469</v>
      </c>
      <c r="B42" s="557" t="s">
        <v>770</v>
      </c>
      <c r="C42" s="560" t="s">
        <v>770</v>
      </c>
      <c r="D42" s="563">
        <f>'ЛП лоток перф (2)'!D42*1.55*($Q$2/100+1)</f>
        <v>986.06370585937486</v>
      </c>
      <c r="E42" s="563">
        <f>'ЛП лоток перф (2)'!E42*1.63*($Q$2/100+1)</f>
        <v>1244.3487797812497</v>
      </c>
      <c r="F42" s="563">
        <f>'ЛП лоток перф (2)'!F42*1.54*($Q$2/100+1)</f>
        <v>1436.8962733125002</v>
      </c>
      <c r="G42" s="563">
        <f>'ЛП лоток перф (2)'!G42*1.54*($Q$2/100+1)</f>
        <v>1828.7770751249996</v>
      </c>
      <c r="H42" s="563">
        <f>'ЛП лоток перф (2)'!H42*1.54*($Q$2/100+1)</f>
        <v>2558.2782600374999</v>
      </c>
      <c r="I42" s="569">
        <f>'ЛП лоток перф (2)'!I42*1.8*($Q$2/100+1)</f>
        <v>2449.4703304499999</v>
      </c>
      <c r="J42" s="569">
        <f>'ЛП лоток перф (2)'!J42*1.8*($Q$2/100+1)</f>
        <v>3117.5076932999991</v>
      </c>
      <c r="K42" s="569">
        <f>'ЛП лоток перф (2)'!K42*1.8*($Q$2/100+1)</f>
        <v>4332.1418513999997</v>
      </c>
      <c r="L42" s="579" t="s">
        <v>770</v>
      </c>
      <c r="M42" s="578">
        <f>'ЛП лоток перф (2)'!M42*1.8*($Q$2/100+1)</f>
        <v>6494.3379072000007</v>
      </c>
      <c r="N42" s="578">
        <f>'ЛП лоток перф (2)'!N42*1.8*($Q$2/100+1)</f>
        <v>8117.9223840000004</v>
      </c>
      <c r="O42" s="578">
        <f>'ЛП лоток перф (2)'!O42*1.8*($Q$2/100+1)</f>
        <v>9741.5068607999983</v>
      </c>
      <c r="P42" s="578">
        <f>'ЛП лоток перф (2)'!P42*1.8*($Q$2/100+1)</f>
        <v>12176.883575999998</v>
      </c>
    </row>
    <row r="43" spans="1:16" ht="16.3">
      <c r="A43" s="433" t="s">
        <v>3470</v>
      </c>
      <c r="B43" s="557" t="s">
        <v>770</v>
      </c>
      <c r="C43" s="560" t="s">
        <v>770</v>
      </c>
      <c r="D43" s="563">
        <f>'ЛП лоток перф (2)'!D43*1.55*($Q$2/100+1)</f>
        <v>741.38288554687495</v>
      </c>
      <c r="E43" s="563">
        <f>'ЛП лоток перф (2)'!E43*1.63*($Q$2/100+1)</f>
        <v>935.57737040625</v>
      </c>
      <c r="F43" s="563">
        <f>'ЛП лоток перф (2)'!F43*1.54*($Q$2/100+1)</f>
        <v>1080.3463295624999</v>
      </c>
      <c r="G43" s="563">
        <f>'ЛП лоток перф (2)'!G43*1.54*($Q$2/100+1)</f>
        <v>1374.9862376249998</v>
      </c>
      <c r="H43" s="563">
        <f>'ЛП лоток перф (2)'!H43*1.54*($Q$2/100+1)</f>
        <v>1923.4697587874996</v>
      </c>
      <c r="I43" s="569">
        <f>'ЛП лоток перф (2)'!I43*1.8*($Q$2/100+1)</f>
        <v>1841.6613154499998</v>
      </c>
      <c r="J43" s="569">
        <f>'ЛП лоток перф (2)'!J43*1.8*($Q$2/100+1)</f>
        <v>2343.9325832999994</v>
      </c>
      <c r="K43" s="569">
        <f>'ЛП лоток перф (2)'!K43*1.8*($Q$2/100+1)</f>
        <v>3860.2563713999998</v>
      </c>
      <c r="L43" s="579" t="s">
        <v>770</v>
      </c>
      <c r="M43" s="578">
        <f>'ЛП лоток перф (2)'!M43*1.8*($Q$2/100+1)</f>
        <v>4882.8396671999999</v>
      </c>
      <c r="N43" s="578">
        <f>'ЛП лоток перф (2)'!N43*1.8*($Q$2/100+1)</f>
        <v>6103.5495840000003</v>
      </c>
      <c r="O43" s="578">
        <f>'ЛП лоток перф (2)'!O43*1.8*($Q$2/100+1)</f>
        <v>7324.2595007999989</v>
      </c>
      <c r="P43" s="578">
        <f>'ЛП лоток перф (2)'!P43*1.8*($Q$2/100+1)</f>
        <v>9155.3243759999987</v>
      </c>
    </row>
    <row r="44" spans="1:16" ht="16.3">
      <c r="A44" s="433" t="s">
        <v>3471</v>
      </c>
      <c r="B44" s="557" t="s">
        <v>770</v>
      </c>
      <c r="C44" s="560" t="s">
        <v>770</v>
      </c>
      <c r="D44" s="563">
        <f>'ЛП лоток перф (2)'!D44*1.55*($Q$2/100+1)</f>
        <v>765.85096757812494</v>
      </c>
      <c r="E44" s="563">
        <f>'ЛП лоток перф (2)'!E44*1.63*($Q$2/100+1)</f>
        <v>966.45451134374969</v>
      </c>
      <c r="F44" s="563">
        <f>'ЛП лоток перф (2)'!F44*1.54*($Q$2/100+1)</f>
        <v>1116.0013239374998</v>
      </c>
      <c r="G44" s="563">
        <f>'ЛП лоток перф (2)'!G44*1.54*($Q$2/100+1)</f>
        <v>1420.3653213749999</v>
      </c>
      <c r="H44" s="563">
        <f>'ЛП лоток перф (2)'!H44*1.54*($Q$2/100+1)</f>
        <v>1986.9506089124998</v>
      </c>
      <c r="I44" s="569">
        <f>'ЛП лоток перф (2)'!I44*1.8*($Q$2/100+1)</f>
        <v>1902.4422169499999</v>
      </c>
      <c r="J44" s="569">
        <f>'ЛП лоток перф (2)'!J44*1.8*($Q$2/100+1)</f>
        <v>2421.2900942999995</v>
      </c>
      <c r="K44" s="569">
        <f>'ЛП лоток перф (2)'!K44*1.8*($Q$2/100+1)</f>
        <v>3491.0479494000001</v>
      </c>
      <c r="L44" s="579" t="s">
        <v>770</v>
      </c>
      <c r="M44" s="578">
        <f>'ЛП лоток перф (2)'!M44*1.8*($Q$2/100+1)</f>
        <v>5043.9894911999991</v>
      </c>
      <c r="N44" s="578">
        <f>'ЛП лоток перф (2)'!N44*1.8*($Q$2/100+1)</f>
        <v>6304.9868639999986</v>
      </c>
      <c r="O44" s="578">
        <f>'ЛП лоток перф (2)'!O44*1.8*($Q$2/100+1)</f>
        <v>7565.9842367999991</v>
      </c>
      <c r="P44" s="578">
        <f>'ЛП лоток перф (2)'!P44*1.8*($Q$2/100+1)</f>
        <v>9457.4802959999979</v>
      </c>
    </row>
    <row r="45" spans="1:16" ht="16.3">
      <c r="A45" s="433" t="s">
        <v>3472</v>
      </c>
      <c r="B45" s="557" t="s">
        <v>770</v>
      </c>
      <c r="C45" s="560" t="s">
        <v>770</v>
      </c>
      <c r="D45" s="563">
        <f>'ЛП лоток перф (2)'!D45*1.55*($Q$2/100+1)</f>
        <v>778.08500859374999</v>
      </c>
      <c r="E45" s="563">
        <f>'ЛП лоток перф (2)'!E45*1.63*($Q$2/100+1)</f>
        <v>981.89308181249976</v>
      </c>
      <c r="F45" s="563">
        <f>'ЛП лоток перф (2)'!F45*1.54*($Q$2/100+1)</f>
        <v>1133.8288211249999</v>
      </c>
      <c r="G45" s="563">
        <f>'ЛП лоток перф (2)'!G45*1.54*($Q$2/100+1)</f>
        <v>1443.0548632499995</v>
      </c>
      <c r="H45" s="563">
        <f>'ЛП лоток перф (2)'!H45*1.54*($Q$2/100+1)</f>
        <v>2018.6910339749995</v>
      </c>
      <c r="I45" s="569">
        <f>'ЛП лоток перф (2)'!I45*1.8*($Q$2/100+1)</f>
        <v>1932.8326676999998</v>
      </c>
      <c r="J45" s="569">
        <f>'ЛП лоток перф (2)'!J45*1.8*($Q$2/100+1)</f>
        <v>2459.9688497999996</v>
      </c>
      <c r="K45" s="569">
        <f>'ЛП лоток перф (2)'!K45*1.8*($Q$2/100+1)</f>
        <v>3569.4312984000003</v>
      </c>
      <c r="L45" s="579" t="s">
        <v>770</v>
      </c>
      <c r="M45" s="578">
        <f>'ЛП лоток перф (2)'!M45*1.8*($Q$2/100+1)</f>
        <v>5124.5644032</v>
      </c>
      <c r="N45" s="578">
        <f>'ЛП лоток перф (2)'!N45*1.8*($Q$2/100+1)</f>
        <v>6405.7055039999996</v>
      </c>
      <c r="O45" s="578">
        <f>'ЛП лоток перф (2)'!O45*1.8*($Q$2/100+1)</f>
        <v>7686.8466047999991</v>
      </c>
      <c r="P45" s="578">
        <f>'ЛП лоток перф (2)'!P45*1.8*($Q$2/100+1)</f>
        <v>9608.5582559999984</v>
      </c>
    </row>
    <row r="46" spans="1:16" ht="16.3">
      <c r="A46" s="433" t="s">
        <v>3473</v>
      </c>
      <c r="B46" s="557" t="s">
        <v>770</v>
      </c>
      <c r="C46" s="560" t="s">
        <v>770</v>
      </c>
      <c r="D46" s="563">
        <f>'ЛП лоток перф (2)'!D46*1.55*($Q$2/100+1)</f>
        <v>814.78713164062515</v>
      </c>
      <c r="E46" s="563">
        <f>'ЛП лоток перф (2)'!E46*1.63*($Q$2/100+1)</f>
        <v>1028.2087932187501</v>
      </c>
      <c r="F46" s="563">
        <f>'ЛП лоток перф (2)'!F46*1.54*($Q$2/100+1)</f>
        <v>1187.3113126875003</v>
      </c>
      <c r="G46" s="563">
        <f>'ЛП лоток перф (2)'!G46*1.54*($Q$2/100+1)</f>
        <v>1511.123488875</v>
      </c>
      <c r="H46" s="563">
        <f>'ЛП лоток перф (2)'!H46*1.54*($Q$2/100+1)</f>
        <v>2113.9123091625002</v>
      </c>
      <c r="I46" s="569">
        <f>'ЛП лоток перф (2)'!I46*1.8*($Q$2/100+1)</f>
        <v>2024.0040199500002</v>
      </c>
      <c r="J46" s="569">
        <f>'ЛП лоток перф (2)'!J46*1.8*($Q$2/100+1)</f>
        <v>2576.0051162999998</v>
      </c>
      <c r="K46" s="569">
        <f>'ЛП лоток перф (2)'!K46*1.8*($Q$2/100+1)</f>
        <v>3695.0031954000005</v>
      </c>
      <c r="L46" s="579" t="s">
        <v>770</v>
      </c>
      <c r="M46" s="578">
        <f>'ЛП лоток перф (2)'!M46*1.8*($Q$2/100+1)</f>
        <v>5366.2891392000001</v>
      </c>
      <c r="N46" s="578">
        <f>'ЛП лоток перф (2)'!N46*1.8*($Q$2/100+1)</f>
        <v>6707.8614239999997</v>
      </c>
      <c r="O46" s="578">
        <f>'ЛП лоток перф (2)'!O46*1.8*($Q$2/100+1)</f>
        <v>8049.4337087999993</v>
      </c>
      <c r="P46" s="578">
        <f>'ЛП лоток перф (2)'!P46*1.8*($Q$2/100+1)</f>
        <v>10061.792136000002</v>
      </c>
    </row>
    <row r="47" spans="1:16" ht="16.3">
      <c r="A47" s="433" t="s">
        <v>3593</v>
      </c>
      <c r="B47" s="557" t="s">
        <v>770</v>
      </c>
      <c r="C47" s="560" t="s">
        <v>770</v>
      </c>
      <c r="D47" s="563">
        <f>'ЛП лоток перф (2)'!D47*1.55*($Q$2/100+1)</f>
        <v>863.72329570312513</v>
      </c>
      <c r="E47" s="563">
        <f>'ЛП лоток перф (2)'!E47*1.63*($Q$2/100+1)</f>
        <v>1089.9630750937499</v>
      </c>
      <c r="F47" s="563">
        <f>'ЛП лоток перф (2)'!F47*1.54*($Q$2/100+1)</f>
        <v>1258.6213014374998</v>
      </c>
      <c r="G47" s="563">
        <f>'ЛП лоток перф (2)'!G47*1.54*($Q$2/100+1)</f>
        <v>1601.8816563749997</v>
      </c>
      <c r="H47" s="563">
        <f>'ЛП лоток перф (2)'!H47*1.54*($Q$2/100+1)</f>
        <v>2240.8740094124996</v>
      </c>
      <c r="I47" s="569">
        <f>'ЛП лоток перф (2)'!I47*1.8*($Q$2/100+1)</f>
        <v>2145.56582295</v>
      </c>
      <c r="J47" s="569">
        <f>'ЛП лоток перф (2)'!J47*1.8*($Q$2/100+1)</f>
        <v>2730.7201382999997</v>
      </c>
      <c r="K47" s="569">
        <f>'ЛП лоток перф (2)'!K47*1.8*($Q$2/100+1)</f>
        <v>3898.9584414000001</v>
      </c>
      <c r="L47" s="579" t="s">
        <v>770</v>
      </c>
      <c r="M47" s="578">
        <f>'ЛП лоток перф (2)'!M47*1.8*($Q$2/100+1)</f>
        <v>5688.5887871999994</v>
      </c>
      <c r="N47" s="578">
        <f>'ЛП лоток перф (2)'!N47*1.8*($Q$2/100+1)</f>
        <v>7110.7359839999999</v>
      </c>
      <c r="O47" s="578">
        <f>'ЛП лоток перф (2)'!O47*1.8*($Q$2/100+1)</f>
        <v>8532.8831807999995</v>
      </c>
      <c r="P47" s="578">
        <f>'ЛП лоток перф (2)'!P47*1.8*($Q$2/100+1)</f>
        <v>10666.103976</v>
      </c>
    </row>
    <row r="48" spans="1:16" ht="16.3">
      <c r="A48" s="433" t="s">
        <v>3474</v>
      </c>
      <c r="B48" s="557" t="s">
        <v>770</v>
      </c>
      <c r="C48" s="560" t="s">
        <v>770</v>
      </c>
      <c r="D48" s="560" t="s">
        <v>770</v>
      </c>
      <c r="E48" s="563">
        <f>'ЛП лоток перф (2)'!E48*1.63*($Q$2/100+1)</f>
        <v>1244.3487797812497</v>
      </c>
      <c r="F48" s="563">
        <f>'ЛП лоток перф (2)'!F48*1.54*($Q$2/100+1)</f>
        <v>1436.8962733125002</v>
      </c>
      <c r="G48" s="563">
        <f>'ЛП лоток перф (2)'!G48*1.54*($Q$2/100+1)</f>
        <v>1828.7770751249996</v>
      </c>
      <c r="H48" s="563">
        <f>'ЛП лоток перф (2)'!H48*1.54*($Q$2/100+1)</f>
        <v>2558.2782600374999</v>
      </c>
      <c r="I48" s="569">
        <f>'ЛП лоток перф (2)'!I48*1.8*($Q$2/100+1)</f>
        <v>2449.4703304499999</v>
      </c>
      <c r="J48" s="569">
        <f>'ЛП лоток перф (2)'!J48*1.8*($Q$2/100+1)</f>
        <v>3117.5076932999991</v>
      </c>
      <c r="K48" s="569">
        <f>'ЛП лоток перф (2)'!K48*1.8*($Q$2/100+1)</f>
        <v>4332.1418513999997</v>
      </c>
      <c r="L48" s="579" t="s">
        <v>770</v>
      </c>
      <c r="M48" s="580" t="s">
        <v>770</v>
      </c>
      <c r="N48" s="578">
        <f>'ЛП лоток перф (2)'!N48*1.8*($Q$2/100+1)</f>
        <v>8117.9223840000004</v>
      </c>
      <c r="O48" s="578">
        <f>'ЛП лоток перф (2)'!O48*1.8*($Q$2/100+1)</f>
        <v>9741.5068607999983</v>
      </c>
      <c r="P48" s="578">
        <f>'ЛП лоток перф (2)'!P48*1.8*($Q$2/100+1)</f>
        <v>12176.883575999998</v>
      </c>
    </row>
    <row r="49" spans="1:16" ht="16.3">
      <c r="A49" s="433" t="s">
        <v>3475</v>
      </c>
      <c r="B49" s="557" t="s">
        <v>770</v>
      </c>
      <c r="C49" s="560" t="s">
        <v>770</v>
      </c>
      <c r="D49" s="560" t="s">
        <v>770</v>
      </c>
      <c r="E49" s="563">
        <f>'ЛП лоток перф (2)'!E49*1.63*($Q$2/100+1)</f>
        <v>1398.73448446875</v>
      </c>
      <c r="F49" s="563">
        <f>'ЛП лоток перф (2)'!F49*1.54*($Q$2/100+1)</f>
        <v>1615.1712451875001</v>
      </c>
      <c r="G49" s="563">
        <f>'ЛП лоток перф (2)'!G49*1.54*($Q$2/100+1)</f>
        <v>2055.6724938749999</v>
      </c>
      <c r="H49" s="563">
        <f>'ЛП лоток перф (2)'!H49*1.54*($Q$2/100+1)</f>
        <v>2875.6825106624997</v>
      </c>
      <c r="I49" s="569">
        <f>'ЛП лоток перф (2)'!I49*1.8*($Q$2/100+1)</f>
        <v>2753.3748379499998</v>
      </c>
      <c r="J49" s="569">
        <f>'ЛП лоток перф (2)'!J49*1.8*($Q$2/100+1)</f>
        <v>3504.2952482999999</v>
      </c>
      <c r="K49" s="569">
        <f>'ЛП лоток перф (2)'!K49*1.8*($Q$2/100+1)</f>
        <v>4896.8190414000001</v>
      </c>
      <c r="L49" s="579" t="s">
        <v>770</v>
      </c>
      <c r="M49" s="580" t="s">
        <v>770</v>
      </c>
      <c r="N49" s="578">
        <f>'ЛП лоток перф (2)'!N49*1.8*($Q$2/100+1)</f>
        <v>9125.108784</v>
      </c>
      <c r="O49" s="578">
        <f>'ЛП лоток перф (2)'!O49*1.8*($Q$2/100+1)</f>
        <v>10950.130540799997</v>
      </c>
      <c r="P49" s="578">
        <f>'ЛП лоток перф (2)'!P49*1.8*($Q$2/100+1)</f>
        <v>13687.663175999998</v>
      </c>
    </row>
    <row r="50" spans="1:16" ht="16.3">
      <c r="A50" s="433" t="s">
        <v>3476</v>
      </c>
      <c r="B50" s="557" t="s">
        <v>770</v>
      </c>
      <c r="C50" s="560" t="s">
        <v>770</v>
      </c>
      <c r="D50" s="560" t="s">
        <v>770</v>
      </c>
      <c r="E50" s="563">
        <f>'ЛП лоток перф (2)'!E50*1.63*($Q$2/100+1)</f>
        <v>1089.9630750937499</v>
      </c>
      <c r="F50" s="563">
        <f>'ЛП лоток перф (2)'!F50*1.54*($Q$2/100+1)</f>
        <v>1258.6213014374998</v>
      </c>
      <c r="G50" s="563">
        <f>'ЛП лоток перф (2)'!G50*1.54*($Q$2/100+1)</f>
        <v>1601.8816563749997</v>
      </c>
      <c r="H50" s="563">
        <f>'ЛП лоток перф (2)'!H50*1.54*($Q$2/100+1)</f>
        <v>2240.8740094124996</v>
      </c>
      <c r="I50" s="569">
        <f>'ЛП лоток перф (2)'!I50*1.8*($Q$2/100+1)</f>
        <v>2145.56582295</v>
      </c>
      <c r="J50" s="569">
        <f>'ЛП лоток перф (2)'!J50*1.8*($Q$2/100+1)</f>
        <v>2730.7201382999997</v>
      </c>
      <c r="K50" s="569">
        <f>'ЛП лоток перф (2)'!K50*1.8*($Q$2/100+1)</f>
        <v>4424.9335614000001</v>
      </c>
      <c r="L50" s="579" t="s">
        <v>770</v>
      </c>
      <c r="M50" s="580" t="s">
        <v>770</v>
      </c>
      <c r="N50" s="578">
        <f>'ЛП лоток перф (2)'!N50*1.8*($Q$2/100+1)</f>
        <v>7110.7359839999999</v>
      </c>
      <c r="O50" s="578">
        <f>'ЛП лоток перф (2)'!O50*1.8*($Q$2/100+1)</f>
        <v>8532.8831807999995</v>
      </c>
      <c r="P50" s="578">
        <f>'ЛП лоток перф (2)'!P50*1.8*($Q$2/100+1)</f>
        <v>10666.103976</v>
      </c>
    </row>
    <row r="51" spans="1:16" ht="16.3">
      <c r="A51" s="433" t="s">
        <v>3477</v>
      </c>
      <c r="B51" s="557" t="s">
        <v>770</v>
      </c>
      <c r="C51" s="560" t="s">
        <v>770</v>
      </c>
      <c r="D51" s="560" t="s">
        <v>770</v>
      </c>
      <c r="E51" s="563">
        <f>'ЛП лоток перф (2)'!E51*1.63*($Q$2/100+1)</f>
        <v>1182.5944979062499</v>
      </c>
      <c r="F51" s="563">
        <f>'ЛП лоток перф (2)'!F51*1.54*($Q$2/100+1)</f>
        <v>1365.5862845625004</v>
      </c>
      <c r="G51" s="563">
        <f>'ЛП лоток перф (2)'!G51*1.54*($Q$2/100+1)</f>
        <v>1738.0189076249997</v>
      </c>
      <c r="H51" s="563">
        <f>'ЛП лоток перф (2)'!H51*1.54*($Q$2/100+1)</f>
        <v>2431.3165597875</v>
      </c>
      <c r="I51" s="569">
        <f>'ЛП лоток перф (2)'!I51*1.8*($Q$2/100+1)</f>
        <v>2327.9085274500003</v>
      </c>
      <c r="J51" s="569">
        <f>'ЛП лоток перф (2)'!J51*1.8*($Q$2/100+1)</f>
        <v>2962.7926712999997</v>
      </c>
      <c r="K51" s="569">
        <f>'ЛП лоток перф (2)'!K51*1.8*($Q$2/100+1)</f>
        <v>4193.9334954000005</v>
      </c>
      <c r="L51" s="579" t="s">
        <v>770</v>
      </c>
      <c r="M51" s="580" t="s">
        <v>770</v>
      </c>
      <c r="N51" s="578">
        <f>'ЛП лоток перф (2)'!N51*1.8*($Q$2/100+1)</f>
        <v>7715.0478240000002</v>
      </c>
      <c r="O51" s="578">
        <f>'ЛП лоток перф (2)'!O51*1.8*($Q$2/100+1)</f>
        <v>9258.0573887999999</v>
      </c>
      <c r="P51" s="578">
        <f>'ЛП лоток перф (2)'!P51*1.8*($Q$2/100+1)</f>
        <v>11572.571736</v>
      </c>
    </row>
    <row r="52" spans="1:16" ht="16.3">
      <c r="A52" s="433" t="s">
        <v>3478</v>
      </c>
      <c r="B52" s="557" t="s">
        <v>770</v>
      </c>
      <c r="C52" s="560" t="s">
        <v>770</v>
      </c>
      <c r="D52" s="560" t="s">
        <v>770</v>
      </c>
      <c r="E52" s="563">
        <f>'ЛП лоток перф (2)'!E52*1.63*($Q$2/100+1)</f>
        <v>1244.3487797812497</v>
      </c>
      <c r="F52" s="563">
        <f>'ЛП лоток перф (2)'!F52*1.54*($Q$2/100+1)</f>
        <v>1436.8962733125002</v>
      </c>
      <c r="G52" s="563">
        <f>'ЛП лоток перф (2)'!G52*1.54*($Q$2/100+1)</f>
        <v>1828.7770751249996</v>
      </c>
      <c r="H52" s="563">
        <f>'ЛП лоток перф (2)'!H52*1.54*($Q$2/100+1)</f>
        <v>2558.2782600374999</v>
      </c>
      <c r="I52" s="569">
        <f>'ЛП лоток перф (2)'!I52*1.8*($Q$2/100+1)</f>
        <v>2449.4703304499999</v>
      </c>
      <c r="J52" s="569">
        <f>'ЛП лоток перф (2)'!J52*1.8*($Q$2/100+1)</f>
        <v>3117.5076932999991</v>
      </c>
      <c r="K52" s="569">
        <f>'ЛП лоток перф (2)'!K52*1.8*($Q$2/100+1)</f>
        <v>4463.6356314000004</v>
      </c>
      <c r="L52" s="579" t="s">
        <v>770</v>
      </c>
      <c r="M52" s="580" t="s">
        <v>770</v>
      </c>
      <c r="N52" s="578">
        <f>'ЛП лоток перф (2)'!N52*1.8*($Q$2/100+1)</f>
        <v>8117.9223840000004</v>
      </c>
      <c r="O52" s="578">
        <f>'ЛП лоток перф (2)'!O52*1.8*($Q$2/100+1)</f>
        <v>9741.5068607999983</v>
      </c>
      <c r="P52" s="578">
        <f>'ЛП лоток перф (2)'!P52*1.8*($Q$2/100+1)</f>
        <v>12176.883575999998</v>
      </c>
    </row>
    <row r="53" spans="1:16" ht="16.3">
      <c r="A53" s="433" t="s">
        <v>3479</v>
      </c>
      <c r="B53" s="557" t="s">
        <v>770</v>
      </c>
      <c r="C53" s="560" t="s">
        <v>770</v>
      </c>
      <c r="D53" s="560" t="s">
        <v>770</v>
      </c>
      <c r="E53" s="563">
        <f>'ЛП лоток перф (2)'!E53*1.63*($Q$2/100+1)</f>
        <v>1398.73448446875</v>
      </c>
      <c r="F53" s="563">
        <f>'ЛП лоток перф (2)'!F53*1.54*($Q$2/100+1)</f>
        <v>1615.1712451875001</v>
      </c>
      <c r="G53" s="563">
        <f>'ЛП лоток перф (2)'!G53*1.54*($Q$2/100+1)</f>
        <v>2055.6724938749999</v>
      </c>
      <c r="H53" s="563">
        <f>'ЛП лоток перф (2)'!H53*1.54*($Q$2/100+1)</f>
        <v>2875.6825106624997</v>
      </c>
      <c r="I53" s="569">
        <f>'ЛП лоток перф (2)'!I53*1.8*($Q$2/100+1)</f>
        <v>2753.3748379499998</v>
      </c>
      <c r="J53" s="569">
        <f>'ЛП лоток перф (2)'!J53*1.8*($Q$2/100+1)</f>
        <v>3504.2952482999999</v>
      </c>
      <c r="K53" s="569">
        <f>'ЛП лоток перф (2)'!K53*1.8*($Q$2/100+1)</f>
        <v>4896.8190414000001</v>
      </c>
      <c r="L53" s="579" t="s">
        <v>770</v>
      </c>
      <c r="M53" s="580" t="s">
        <v>770</v>
      </c>
      <c r="N53" s="578">
        <f>'ЛП лоток перф (2)'!N53*1.8*($Q$2/100+1)</f>
        <v>9125.108784</v>
      </c>
      <c r="O53" s="578">
        <f>'ЛП лоток перф (2)'!O53*1.8*($Q$2/100+1)</f>
        <v>10950.130540799997</v>
      </c>
      <c r="P53" s="578">
        <f>'ЛП лоток перф (2)'!P53*1.8*($Q$2/100+1)</f>
        <v>13687.663175999998</v>
      </c>
    </row>
    <row r="54" spans="1:16" ht="17" thickBot="1">
      <c r="A54" s="435" t="s">
        <v>3480</v>
      </c>
      <c r="B54" s="558" t="s">
        <v>770</v>
      </c>
      <c r="C54" s="562" t="s">
        <v>770</v>
      </c>
      <c r="D54" s="562" t="s">
        <v>770</v>
      </c>
      <c r="E54" s="561">
        <f>'ЛП лоток перф (2)'!E54*1.63*($Q$2/100+1)</f>
        <v>1553.12018915625</v>
      </c>
      <c r="F54" s="561">
        <f>'ЛП лоток перф (2)'!F54*1.54*($Q$2/100+1)</f>
        <v>1793.4462170625</v>
      </c>
      <c r="G54" s="561">
        <f>'ЛП лоток перф (2)'!G54*1.54*($Q$2/100+1)</f>
        <v>2282.5679126250002</v>
      </c>
      <c r="H54" s="561">
        <f>'ЛП лоток перф (2)'!H54*1.54*($Q$2/100+1)</f>
        <v>3193.0867612874995</v>
      </c>
      <c r="I54" s="771">
        <f>'ЛП лоток перф (2)'!I54*1.8*($Q$2/100+1)</f>
        <v>3057.2793454500002</v>
      </c>
      <c r="J54" s="771">
        <f>'ЛП лоток перф (2)'!J54*1.8*($Q$2/100+1)</f>
        <v>3891.0828033000003</v>
      </c>
      <c r="K54" s="771">
        <f>'ЛП лоток перф (2)'!K54*1.8*($Q$2/100+1)</f>
        <v>5461.4962313999995</v>
      </c>
      <c r="L54" s="581" t="s">
        <v>770</v>
      </c>
      <c r="M54" s="582" t="s">
        <v>770</v>
      </c>
      <c r="N54" s="581">
        <f>'ЛП лоток перф (2)'!N54*1.8*($Q$2/100+1)</f>
        <v>10132.295184000001</v>
      </c>
      <c r="O54" s="581">
        <f>'ЛП лоток перф (2)'!O54*1.8*($Q$2/100+1)</f>
        <v>12158.754220799998</v>
      </c>
      <c r="P54" s="581">
        <f>'ЛП лоток перф (2)'!P54*1.8*($Q$2/100+1)</f>
        <v>15198.442775999998</v>
      </c>
    </row>
    <row r="55" spans="1:16" s="342" customFormat="1">
      <c r="A55" s="370"/>
      <c r="B55" s="370"/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370"/>
      <c r="P55" s="370"/>
    </row>
    <row r="56" spans="1:16" s="342" customFormat="1">
      <c r="A56" s="370"/>
      <c r="B56" s="370"/>
      <c r="C56" s="370"/>
      <c r="D56" s="370"/>
      <c r="E56" s="370"/>
      <c r="F56" s="370"/>
      <c r="G56" s="370"/>
      <c r="H56" s="370"/>
      <c r="I56" s="370"/>
      <c r="J56" s="370"/>
      <c r="K56" s="370"/>
      <c r="L56" s="370"/>
      <c r="M56" s="370"/>
      <c r="N56" s="370"/>
      <c r="O56" s="370"/>
      <c r="P56" s="370"/>
    </row>
    <row r="57" spans="1:16" s="342" customFormat="1">
      <c r="A57" s="370"/>
      <c r="B57" s="370"/>
      <c r="C57" s="370"/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0"/>
      <c r="P57" s="370"/>
    </row>
    <row r="58" spans="1:16" s="342" customFormat="1">
      <c r="A58" s="370"/>
      <c r="B58" s="370"/>
      <c r="C58" s="370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370"/>
      <c r="P58" s="370"/>
    </row>
    <row r="59" spans="1:16" s="342" customFormat="1">
      <c r="A59" s="436"/>
      <c r="B59" s="370"/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</row>
    <row r="60" spans="1:16" s="342" customFormat="1">
      <c r="A60" s="370"/>
      <c r="B60" s="370"/>
      <c r="C60" s="370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370"/>
      <c r="O60" s="370"/>
      <c r="P60" s="370"/>
    </row>
    <row r="61" spans="1:16" s="342" customFormat="1">
      <c r="A61" s="370"/>
      <c r="B61" s="370"/>
      <c r="C61" s="370"/>
      <c r="D61" s="370"/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370"/>
      <c r="P61" s="370"/>
    </row>
    <row r="62" spans="1:16" s="342" customFormat="1">
      <c r="A62" s="370"/>
      <c r="B62" s="370"/>
      <c r="C62" s="370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370"/>
    </row>
    <row r="63" spans="1:16" s="342" customFormat="1">
      <c r="A63" s="370"/>
      <c r="B63" s="370"/>
      <c r="C63" s="370"/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370"/>
      <c r="O63" s="370"/>
      <c r="P63" s="370"/>
    </row>
    <row r="64" spans="1:16" s="342" customFormat="1">
      <c r="A64" s="370"/>
      <c r="B64" s="370"/>
      <c r="C64" s="370"/>
      <c r="D64" s="370"/>
      <c r="E64" s="370"/>
      <c r="F64" s="370"/>
      <c r="G64" s="370"/>
      <c r="H64" s="370"/>
      <c r="I64" s="370"/>
      <c r="J64" s="370"/>
      <c r="K64" s="370"/>
      <c r="L64" s="370"/>
      <c r="M64" s="370"/>
      <c r="N64" s="370"/>
      <c r="O64" s="370"/>
      <c r="P64" s="370"/>
    </row>
    <row r="65" spans="1:16" s="342" customFormat="1">
      <c r="A65" s="370"/>
      <c r="B65" s="370"/>
      <c r="C65" s="370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</row>
    <row r="66" spans="1:16" s="342" customFormat="1">
      <c r="A66" s="370"/>
      <c r="B66" s="370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</row>
    <row r="67" spans="1:16" s="342" customFormat="1">
      <c r="A67" s="370"/>
      <c r="B67" s="370"/>
      <c r="C67" s="370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</row>
    <row r="68" spans="1:16" s="342" customFormat="1">
      <c r="A68" s="370"/>
      <c r="B68" s="370"/>
      <c r="C68" s="370"/>
      <c r="D68" s="370"/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370"/>
      <c r="P68" s="370"/>
    </row>
    <row r="69" spans="1:16" s="342" customFormat="1">
      <c r="A69" s="370"/>
      <c r="B69" s="370"/>
      <c r="C69" s="370"/>
      <c r="D69" s="370"/>
      <c r="E69" s="370"/>
      <c r="F69" s="370"/>
      <c r="G69" s="370"/>
      <c r="H69" s="370"/>
      <c r="I69" s="370"/>
      <c r="J69" s="370"/>
      <c r="K69" s="370"/>
      <c r="L69" s="370"/>
      <c r="M69" s="370"/>
      <c r="N69" s="370"/>
      <c r="O69" s="370"/>
      <c r="P69" s="370"/>
    </row>
    <row r="70" spans="1:16" s="342" customFormat="1">
      <c r="A70" s="370"/>
      <c r="B70" s="370"/>
      <c r="C70" s="370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</row>
    <row r="71" spans="1:16" s="342" customFormat="1">
      <c r="A71" s="370"/>
      <c r="B71" s="370"/>
      <c r="C71" s="370"/>
      <c r="D71" s="370"/>
      <c r="E71" s="370"/>
      <c r="F71" s="370"/>
      <c r="G71" s="370"/>
      <c r="H71" s="370"/>
      <c r="I71" s="370"/>
      <c r="J71" s="370"/>
      <c r="K71" s="370"/>
      <c r="L71" s="370"/>
      <c r="M71" s="370"/>
      <c r="N71" s="370"/>
      <c r="O71" s="370"/>
      <c r="P71" s="370"/>
    </row>
    <row r="72" spans="1:16" s="342" customFormat="1">
      <c r="A72" s="370"/>
      <c r="B72" s="370"/>
      <c r="C72" s="370"/>
      <c r="D72" s="370"/>
      <c r="E72" s="370"/>
      <c r="F72" s="370"/>
      <c r="G72" s="370"/>
      <c r="H72" s="370"/>
      <c r="I72" s="370"/>
      <c r="J72" s="370"/>
      <c r="K72" s="370"/>
      <c r="L72" s="370"/>
      <c r="M72" s="370"/>
      <c r="N72" s="370"/>
      <c r="O72" s="370"/>
      <c r="P72" s="370"/>
    </row>
    <row r="73" spans="1:16" s="342" customFormat="1">
      <c r="A73" s="370"/>
      <c r="B73" s="370"/>
      <c r="C73" s="370"/>
      <c r="D73" s="370"/>
      <c r="E73" s="370"/>
      <c r="F73" s="370"/>
      <c r="G73" s="370"/>
      <c r="H73" s="370"/>
      <c r="I73" s="370"/>
      <c r="J73" s="370"/>
      <c r="K73" s="370"/>
      <c r="L73" s="370"/>
      <c r="M73" s="370"/>
      <c r="N73" s="370"/>
      <c r="O73" s="370"/>
      <c r="P73" s="370"/>
    </row>
    <row r="74" spans="1:16" s="342" customFormat="1">
      <c r="A74" s="370"/>
      <c r="B74" s="370"/>
      <c r="C74" s="370"/>
      <c r="D74" s="370"/>
      <c r="E74" s="370"/>
      <c r="F74" s="370"/>
      <c r="G74" s="370"/>
      <c r="H74" s="370"/>
      <c r="I74" s="370"/>
      <c r="J74" s="370"/>
      <c r="K74" s="370"/>
      <c r="L74" s="370"/>
      <c r="M74" s="370"/>
      <c r="N74" s="370"/>
      <c r="O74" s="370"/>
      <c r="P74" s="370"/>
    </row>
    <row r="75" spans="1:16" s="342" customFormat="1">
      <c r="A75" s="370"/>
      <c r="B75" s="370"/>
      <c r="C75" s="370"/>
      <c r="D75" s="370"/>
      <c r="E75" s="370"/>
      <c r="F75" s="370"/>
      <c r="G75" s="370"/>
      <c r="H75" s="370"/>
      <c r="I75" s="370"/>
      <c r="J75" s="370"/>
      <c r="K75" s="370"/>
      <c r="L75" s="370"/>
      <c r="M75" s="370"/>
      <c r="N75" s="370"/>
      <c r="O75" s="370"/>
      <c r="P75" s="370"/>
    </row>
    <row r="76" spans="1:16" s="342" customFormat="1">
      <c r="A76" s="370"/>
      <c r="B76" s="370"/>
      <c r="C76" s="370"/>
      <c r="D76" s="370"/>
      <c r="E76" s="370"/>
      <c r="F76" s="370"/>
      <c r="G76" s="370"/>
      <c r="H76" s="370"/>
      <c r="I76" s="370"/>
      <c r="J76" s="370"/>
      <c r="K76" s="370"/>
      <c r="L76" s="370"/>
      <c r="M76" s="370"/>
      <c r="N76" s="370"/>
      <c r="O76" s="370"/>
      <c r="P76" s="370"/>
    </row>
    <row r="77" spans="1:16" s="342" customFormat="1">
      <c r="A77" s="370"/>
      <c r="B77" s="370"/>
      <c r="C77" s="370"/>
      <c r="D77" s="370"/>
      <c r="E77" s="370"/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</row>
    <row r="78" spans="1:16" s="342" customFormat="1">
      <c r="A78" s="370"/>
      <c r="B78" s="370"/>
      <c r="C78" s="370"/>
      <c r="D78" s="370"/>
      <c r="E78" s="370"/>
      <c r="F78" s="370"/>
      <c r="G78" s="370"/>
      <c r="H78" s="370"/>
      <c r="I78" s="370"/>
      <c r="J78" s="370"/>
      <c r="K78" s="370"/>
      <c r="L78" s="370"/>
      <c r="M78" s="370"/>
      <c r="N78" s="370"/>
      <c r="O78" s="370"/>
      <c r="P78" s="370"/>
    </row>
    <row r="79" spans="1:16" s="342" customFormat="1">
      <c r="A79" s="370"/>
      <c r="B79" s="370"/>
      <c r="C79" s="370"/>
      <c r="D79" s="370"/>
      <c r="E79" s="370"/>
      <c r="F79" s="370"/>
      <c r="G79" s="370"/>
      <c r="H79" s="370"/>
      <c r="I79" s="370"/>
      <c r="J79" s="370"/>
      <c r="K79" s="370"/>
      <c r="L79" s="370"/>
      <c r="M79" s="370"/>
      <c r="N79" s="370"/>
      <c r="O79" s="370"/>
      <c r="P79" s="370"/>
    </row>
    <row r="80" spans="1:16" s="342" customFormat="1">
      <c r="A80" s="370"/>
      <c r="B80" s="370"/>
      <c r="C80" s="370"/>
      <c r="D80" s="370"/>
      <c r="E80" s="370"/>
      <c r="F80" s="370"/>
      <c r="G80" s="370"/>
      <c r="H80" s="370"/>
      <c r="I80" s="370"/>
      <c r="J80" s="370"/>
      <c r="K80" s="370"/>
      <c r="L80" s="370"/>
      <c r="M80" s="370"/>
      <c r="N80" s="370"/>
      <c r="O80" s="370"/>
      <c r="P80" s="370"/>
    </row>
    <row r="81" spans="1:16" s="342" customFormat="1">
      <c r="A81" s="370"/>
      <c r="B81" s="370"/>
      <c r="C81" s="370"/>
      <c r="D81" s="370"/>
      <c r="E81" s="370"/>
      <c r="F81" s="370"/>
      <c r="G81" s="370"/>
      <c r="H81" s="370"/>
      <c r="I81" s="370"/>
      <c r="J81" s="370"/>
      <c r="K81" s="370"/>
      <c r="L81" s="370"/>
      <c r="M81" s="370"/>
      <c r="N81" s="370"/>
      <c r="O81" s="370"/>
      <c r="P81" s="370"/>
    </row>
    <row r="82" spans="1:16" s="342" customFormat="1">
      <c r="A82" s="370"/>
      <c r="B82" s="370"/>
      <c r="C82" s="370"/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</row>
    <row r="83" spans="1:16" s="342" customFormat="1">
      <c r="A83" s="370"/>
      <c r="B83" s="370"/>
      <c r="C83" s="370"/>
      <c r="D83" s="370"/>
      <c r="E83" s="370"/>
      <c r="F83" s="370"/>
      <c r="G83" s="370"/>
      <c r="H83" s="370"/>
      <c r="I83" s="370"/>
      <c r="J83" s="370"/>
      <c r="K83" s="370"/>
      <c r="L83" s="370"/>
      <c r="M83" s="370"/>
      <c r="N83" s="370"/>
      <c r="O83" s="370"/>
      <c r="P83" s="370"/>
    </row>
    <row r="84" spans="1:16" s="342" customFormat="1">
      <c r="A84" s="370"/>
      <c r="B84" s="370"/>
      <c r="C84" s="370"/>
      <c r="D84" s="370"/>
      <c r="E84" s="370"/>
      <c r="F84" s="370"/>
      <c r="G84" s="370"/>
      <c r="H84" s="370"/>
      <c r="I84" s="370"/>
      <c r="J84" s="370"/>
      <c r="K84" s="370"/>
      <c r="L84" s="370"/>
      <c r="M84" s="370"/>
      <c r="N84" s="370"/>
      <c r="O84" s="370"/>
      <c r="P84" s="370"/>
    </row>
    <row r="85" spans="1:16" s="342" customFormat="1">
      <c r="A85" s="370"/>
      <c r="B85" s="370"/>
      <c r="C85" s="370"/>
      <c r="D85" s="370"/>
      <c r="E85" s="370"/>
      <c r="F85" s="370"/>
      <c r="G85" s="370"/>
      <c r="H85" s="370"/>
      <c r="I85" s="370"/>
      <c r="J85" s="370"/>
      <c r="K85" s="370"/>
      <c r="L85" s="370"/>
      <c r="M85" s="370"/>
      <c r="N85" s="370"/>
      <c r="O85" s="370"/>
      <c r="P85" s="370"/>
    </row>
    <row r="86" spans="1:16" s="342" customFormat="1">
      <c r="A86" s="370"/>
      <c r="B86" s="370"/>
      <c r="C86" s="370"/>
      <c r="D86" s="370"/>
      <c r="E86" s="370"/>
      <c r="F86" s="370"/>
      <c r="G86" s="370"/>
      <c r="H86" s="370"/>
      <c r="I86" s="370"/>
      <c r="J86" s="370"/>
      <c r="K86" s="370"/>
      <c r="L86" s="370"/>
      <c r="M86" s="370"/>
      <c r="N86" s="370"/>
      <c r="O86" s="370"/>
      <c r="P86" s="370"/>
    </row>
    <row r="87" spans="1:16" s="342" customFormat="1">
      <c r="A87" s="370"/>
      <c r="B87" s="370"/>
      <c r="C87" s="370"/>
      <c r="D87" s="370"/>
      <c r="E87" s="370"/>
      <c r="F87" s="370"/>
      <c r="G87" s="370"/>
      <c r="H87" s="370"/>
      <c r="I87" s="370"/>
      <c r="J87" s="370"/>
      <c r="K87" s="370"/>
      <c r="L87" s="370"/>
      <c r="M87" s="370"/>
      <c r="N87" s="370"/>
      <c r="O87" s="370"/>
      <c r="P87" s="370"/>
    </row>
    <row r="88" spans="1:16" s="342" customFormat="1">
      <c r="A88" s="370"/>
      <c r="B88" s="370"/>
      <c r="C88" s="370"/>
      <c r="D88" s="370"/>
      <c r="E88" s="370"/>
      <c r="F88" s="370"/>
      <c r="G88" s="370"/>
      <c r="H88" s="370"/>
      <c r="I88" s="370"/>
      <c r="J88" s="370"/>
      <c r="K88" s="370"/>
      <c r="L88" s="370"/>
      <c r="M88" s="370"/>
      <c r="N88" s="370"/>
      <c r="O88" s="370"/>
      <c r="P88" s="370"/>
    </row>
    <row r="89" spans="1:16" s="342" customFormat="1">
      <c r="A89" s="370"/>
      <c r="B89" s="370"/>
      <c r="C89" s="370"/>
      <c r="D89" s="370"/>
      <c r="E89" s="370"/>
      <c r="F89" s="370"/>
      <c r="G89" s="370"/>
      <c r="H89" s="370"/>
      <c r="I89" s="370"/>
      <c r="J89" s="370"/>
      <c r="K89" s="370"/>
      <c r="L89" s="370"/>
      <c r="M89" s="370"/>
      <c r="N89" s="370"/>
      <c r="O89" s="370"/>
      <c r="P89" s="370"/>
    </row>
    <row r="90" spans="1:16" s="342" customFormat="1">
      <c r="A90" s="370"/>
      <c r="B90" s="370"/>
      <c r="C90" s="370"/>
      <c r="D90" s="370"/>
      <c r="E90" s="370"/>
      <c r="F90" s="370"/>
      <c r="G90" s="370"/>
      <c r="H90" s="370"/>
      <c r="I90" s="370"/>
      <c r="J90" s="370"/>
      <c r="K90" s="370"/>
      <c r="L90" s="370"/>
      <c r="M90" s="370"/>
      <c r="N90" s="370"/>
      <c r="O90" s="370"/>
      <c r="P90" s="370"/>
    </row>
    <row r="91" spans="1:16" s="342" customFormat="1">
      <c r="A91" s="370"/>
      <c r="B91" s="370"/>
      <c r="C91" s="370"/>
      <c r="D91" s="370"/>
      <c r="E91" s="370"/>
      <c r="F91" s="370"/>
      <c r="G91" s="370"/>
      <c r="H91" s="370"/>
      <c r="I91" s="370"/>
      <c r="J91" s="370"/>
      <c r="K91" s="370"/>
      <c r="L91" s="370"/>
      <c r="M91" s="370"/>
      <c r="N91" s="370"/>
      <c r="O91" s="370"/>
      <c r="P91" s="370"/>
    </row>
    <row r="92" spans="1:16" s="342" customFormat="1">
      <c r="A92" s="370"/>
      <c r="B92" s="370"/>
      <c r="C92" s="370"/>
      <c r="D92" s="370"/>
      <c r="E92" s="370"/>
      <c r="F92" s="370"/>
      <c r="G92" s="370"/>
      <c r="H92" s="370"/>
      <c r="I92" s="370"/>
      <c r="J92" s="370"/>
      <c r="K92" s="370"/>
      <c r="L92" s="370"/>
      <c r="M92" s="370"/>
      <c r="N92" s="370"/>
      <c r="O92" s="370"/>
      <c r="P92" s="370"/>
    </row>
    <row r="93" spans="1:16" s="342" customFormat="1">
      <c r="A93" s="370"/>
      <c r="B93" s="370"/>
      <c r="C93" s="370"/>
      <c r="D93" s="370"/>
      <c r="E93" s="370"/>
      <c r="F93" s="370"/>
      <c r="G93" s="370"/>
      <c r="H93" s="370"/>
      <c r="I93" s="370"/>
      <c r="J93" s="370"/>
      <c r="K93" s="370"/>
      <c r="L93" s="370"/>
      <c r="M93" s="370"/>
      <c r="N93" s="370"/>
      <c r="O93" s="370"/>
      <c r="P93" s="370"/>
    </row>
    <row r="94" spans="1:16" s="342" customFormat="1">
      <c r="A94" s="370"/>
      <c r="B94" s="370"/>
      <c r="C94" s="370"/>
      <c r="D94" s="370"/>
      <c r="E94" s="370"/>
      <c r="F94" s="370"/>
      <c r="G94" s="370"/>
      <c r="H94" s="370"/>
      <c r="I94" s="370"/>
      <c r="J94" s="370"/>
      <c r="K94" s="370"/>
      <c r="L94" s="370"/>
      <c r="M94" s="370"/>
      <c r="N94" s="370"/>
      <c r="O94" s="370"/>
      <c r="P94" s="370"/>
    </row>
    <row r="95" spans="1:16" s="342" customFormat="1">
      <c r="A95" s="370"/>
      <c r="B95" s="370"/>
      <c r="C95" s="370"/>
      <c r="D95" s="370"/>
      <c r="E95" s="370"/>
      <c r="F95" s="370"/>
      <c r="G95" s="370"/>
      <c r="H95" s="370"/>
      <c r="I95" s="370"/>
      <c r="J95" s="370"/>
      <c r="K95" s="370"/>
      <c r="L95" s="370"/>
      <c r="M95" s="370"/>
      <c r="N95" s="370"/>
      <c r="O95" s="370"/>
      <c r="P95" s="370"/>
    </row>
    <row r="96" spans="1:16" s="342" customFormat="1">
      <c r="A96" s="370"/>
      <c r="B96" s="370"/>
      <c r="C96" s="370"/>
      <c r="D96" s="370"/>
      <c r="E96" s="370"/>
      <c r="F96" s="370"/>
      <c r="G96" s="370"/>
      <c r="H96" s="370"/>
      <c r="I96" s="370"/>
      <c r="J96" s="370"/>
      <c r="K96" s="370"/>
      <c r="L96" s="370"/>
      <c r="M96" s="370"/>
      <c r="N96" s="370"/>
      <c r="O96" s="370"/>
      <c r="P96" s="370"/>
    </row>
    <row r="97" spans="1:16" s="342" customFormat="1">
      <c r="A97" s="370"/>
      <c r="B97" s="370"/>
      <c r="C97" s="370"/>
      <c r="D97" s="370"/>
      <c r="E97" s="370"/>
      <c r="F97" s="370"/>
      <c r="G97" s="370"/>
      <c r="H97" s="370"/>
      <c r="I97" s="370"/>
      <c r="J97" s="370"/>
      <c r="K97" s="370"/>
      <c r="L97" s="370"/>
      <c r="M97" s="370"/>
      <c r="N97" s="370"/>
      <c r="O97" s="370"/>
      <c r="P97" s="370"/>
    </row>
    <row r="98" spans="1:16" s="342" customFormat="1">
      <c r="A98" s="370"/>
      <c r="B98" s="370"/>
      <c r="C98" s="370"/>
      <c r="D98" s="370"/>
      <c r="E98" s="370"/>
      <c r="F98" s="370"/>
      <c r="G98" s="370"/>
      <c r="H98" s="370"/>
      <c r="I98" s="370"/>
      <c r="J98" s="370"/>
      <c r="K98" s="370"/>
      <c r="L98" s="370"/>
      <c r="M98" s="370"/>
      <c r="N98" s="370"/>
      <c r="O98" s="370"/>
      <c r="P98" s="370"/>
    </row>
    <row r="99" spans="1:16" s="342" customFormat="1">
      <c r="A99" s="370"/>
      <c r="B99" s="370"/>
      <c r="C99" s="370"/>
      <c r="D99" s="370"/>
      <c r="E99" s="370"/>
      <c r="F99" s="370"/>
      <c r="G99" s="370"/>
      <c r="H99" s="370"/>
      <c r="I99" s="370"/>
      <c r="J99" s="370"/>
      <c r="K99" s="370"/>
      <c r="L99" s="370"/>
      <c r="M99" s="370"/>
      <c r="N99" s="370"/>
      <c r="O99" s="370"/>
      <c r="P99" s="370"/>
    </row>
    <row r="100" spans="1:16" s="342" customFormat="1">
      <c r="A100" s="370"/>
      <c r="B100" s="370"/>
      <c r="C100" s="370"/>
      <c r="D100" s="370"/>
      <c r="E100" s="370"/>
      <c r="F100" s="370"/>
      <c r="G100" s="370"/>
      <c r="H100" s="370"/>
      <c r="I100" s="370"/>
      <c r="J100" s="370"/>
      <c r="K100" s="370"/>
      <c r="L100" s="370"/>
      <c r="M100" s="370"/>
      <c r="N100" s="370"/>
      <c r="O100" s="370"/>
      <c r="P100" s="370"/>
    </row>
    <row r="101" spans="1:16" s="342" customFormat="1">
      <c r="A101" s="370"/>
      <c r="B101" s="370"/>
      <c r="C101" s="370"/>
      <c r="D101" s="370"/>
      <c r="E101" s="370"/>
      <c r="F101" s="370"/>
      <c r="G101" s="370"/>
      <c r="H101" s="370"/>
      <c r="I101" s="370"/>
      <c r="J101" s="370"/>
      <c r="K101" s="370"/>
      <c r="L101" s="370"/>
      <c r="M101" s="370"/>
      <c r="N101" s="370"/>
      <c r="O101" s="370"/>
      <c r="P101" s="370"/>
    </row>
    <row r="102" spans="1:16" s="342" customFormat="1">
      <c r="A102" s="370"/>
      <c r="B102" s="370"/>
      <c r="C102" s="370"/>
      <c r="D102" s="370"/>
      <c r="E102" s="370"/>
      <c r="F102" s="370"/>
      <c r="G102" s="370"/>
      <c r="H102" s="370"/>
      <c r="I102" s="370"/>
      <c r="J102" s="370"/>
      <c r="K102" s="370"/>
      <c r="L102" s="370"/>
      <c r="M102" s="370"/>
      <c r="N102" s="370"/>
      <c r="O102" s="370"/>
      <c r="P102" s="370"/>
    </row>
    <row r="103" spans="1:16" s="342" customFormat="1">
      <c r="A103" s="370"/>
      <c r="B103" s="370"/>
      <c r="C103" s="370"/>
      <c r="D103" s="370"/>
      <c r="E103" s="370"/>
      <c r="F103" s="370"/>
      <c r="G103" s="370"/>
      <c r="H103" s="370"/>
      <c r="I103" s="370"/>
      <c r="J103" s="370"/>
      <c r="K103" s="370"/>
      <c r="L103" s="370"/>
      <c r="M103" s="370"/>
      <c r="N103" s="370"/>
      <c r="O103" s="370"/>
      <c r="P103" s="370"/>
    </row>
    <row r="104" spans="1:16" s="342" customFormat="1">
      <c r="A104" s="370"/>
      <c r="B104" s="370"/>
      <c r="C104" s="370"/>
      <c r="D104" s="370"/>
      <c r="E104" s="370"/>
      <c r="F104" s="370"/>
      <c r="G104" s="370"/>
      <c r="H104" s="370"/>
      <c r="I104" s="370"/>
      <c r="J104" s="370"/>
      <c r="K104" s="370"/>
      <c r="L104" s="370"/>
      <c r="M104" s="370"/>
      <c r="N104" s="370"/>
      <c r="O104" s="370"/>
      <c r="P104" s="370"/>
    </row>
    <row r="105" spans="1:16" s="342" customFormat="1">
      <c r="A105" s="370"/>
      <c r="B105" s="370"/>
      <c r="C105" s="370"/>
      <c r="D105" s="370"/>
      <c r="E105" s="370"/>
      <c r="F105" s="370"/>
      <c r="G105" s="370"/>
      <c r="H105" s="370"/>
      <c r="I105" s="370"/>
      <c r="J105" s="370"/>
      <c r="K105" s="370"/>
      <c r="L105" s="370"/>
      <c r="M105" s="370"/>
      <c r="N105" s="370"/>
      <c r="O105" s="370"/>
      <c r="P105" s="370"/>
    </row>
    <row r="106" spans="1:16" s="342" customFormat="1">
      <c r="A106" s="370"/>
      <c r="B106" s="370"/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</row>
    <row r="107" spans="1:16" s="342" customFormat="1">
      <c r="A107" s="370"/>
      <c r="B107" s="370"/>
      <c r="C107" s="370"/>
      <c r="D107" s="370"/>
      <c r="E107" s="370"/>
      <c r="F107" s="370"/>
      <c r="G107" s="370"/>
      <c r="H107" s="370"/>
      <c r="I107" s="370"/>
      <c r="J107" s="370"/>
      <c r="K107" s="370"/>
      <c r="L107" s="370"/>
      <c r="M107" s="370"/>
      <c r="N107" s="370"/>
      <c r="O107" s="370"/>
      <c r="P107" s="370"/>
    </row>
    <row r="108" spans="1:16" s="342" customFormat="1">
      <c r="A108" s="370"/>
      <c r="B108" s="370"/>
      <c r="C108" s="370"/>
      <c r="D108" s="370"/>
      <c r="E108" s="370"/>
      <c r="F108" s="370"/>
      <c r="G108" s="370"/>
      <c r="H108" s="370"/>
      <c r="I108" s="370"/>
      <c r="J108" s="370"/>
      <c r="K108" s="370"/>
      <c r="L108" s="370"/>
      <c r="M108" s="370"/>
      <c r="N108" s="370"/>
      <c r="O108" s="370"/>
      <c r="P108" s="370"/>
    </row>
    <row r="109" spans="1:16" s="342" customFormat="1">
      <c r="A109" s="370"/>
      <c r="B109" s="370"/>
      <c r="C109" s="370"/>
      <c r="D109" s="370"/>
      <c r="E109" s="370"/>
      <c r="F109" s="370"/>
      <c r="G109" s="370"/>
      <c r="H109" s="370"/>
      <c r="I109" s="370"/>
      <c r="J109" s="370"/>
      <c r="K109" s="370"/>
      <c r="L109" s="370"/>
      <c r="M109" s="370"/>
      <c r="N109" s="370"/>
      <c r="O109" s="370"/>
      <c r="P109" s="370"/>
    </row>
    <row r="110" spans="1:16" s="342" customFormat="1">
      <c r="A110" s="370"/>
      <c r="B110" s="370"/>
      <c r="C110" s="370"/>
      <c r="D110" s="370"/>
      <c r="E110" s="370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</row>
    <row r="111" spans="1:16" s="342" customFormat="1">
      <c r="A111" s="370"/>
      <c r="B111" s="370"/>
      <c r="C111" s="370"/>
      <c r="D111" s="370"/>
      <c r="E111" s="370"/>
      <c r="F111" s="370"/>
      <c r="G111" s="370"/>
      <c r="H111" s="370"/>
      <c r="I111" s="370"/>
      <c r="J111" s="370"/>
      <c r="K111" s="370"/>
      <c r="L111" s="370"/>
      <c r="M111" s="370"/>
      <c r="N111" s="370"/>
      <c r="O111" s="370"/>
      <c r="P111" s="370"/>
    </row>
    <row r="112" spans="1:16" s="342" customFormat="1">
      <c r="A112" s="370"/>
      <c r="B112" s="370"/>
      <c r="C112" s="370"/>
      <c r="D112" s="370"/>
      <c r="E112" s="370"/>
      <c r="F112" s="370"/>
      <c r="G112" s="370"/>
      <c r="H112" s="370"/>
      <c r="I112" s="370"/>
      <c r="J112" s="370"/>
      <c r="K112" s="370"/>
      <c r="L112" s="370"/>
      <c r="M112" s="370"/>
      <c r="N112" s="370"/>
      <c r="O112" s="370"/>
      <c r="P112" s="370"/>
    </row>
    <row r="113" spans="1:16" s="342" customFormat="1">
      <c r="A113" s="370"/>
      <c r="B113" s="370"/>
      <c r="C113" s="370"/>
      <c r="D113" s="370"/>
      <c r="E113" s="370"/>
      <c r="F113" s="370"/>
      <c r="G113" s="370"/>
      <c r="H113" s="370"/>
      <c r="I113" s="370"/>
      <c r="J113" s="370"/>
      <c r="K113" s="370"/>
      <c r="L113" s="370"/>
      <c r="M113" s="370"/>
      <c r="N113" s="370"/>
      <c r="O113" s="370"/>
      <c r="P113" s="370"/>
    </row>
    <row r="114" spans="1:16" s="342" customFormat="1">
      <c r="A114" s="370"/>
      <c r="B114" s="370"/>
      <c r="C114" s="370"/>
      <c r="D114" s="370"/>
      <c r="E114" s="370"/>
      <c r="F114" s="370"/>
      <c r="G114" s="370"/>
      <c r="H114" s="370"/>
      <c r="I114" s="370"/>
      <c r="J114" s="370"/>
      <c r="K114" s="370"/>
      <c r="L114" s="370"/>
      <c r="M114" s="370"/>
      <c r="N114" s="370"/>
      <c r="O114" s="370"/>
      <c r="P114" s="370"/>
    </row>
    <row r="115" spans="1:16" s="342" customFormat="1">
      <c r="A115" s="370"/>
      <c r="B115" s="370"/>
      <c r="C115" s="370"/>
      <c r="D115" s="370"/>
      <c r="E115" s="370"/>
      <c r="F115" s="370"/>
      <c r="G115" s="370"/>
      <c r="H115" s="370"/>
      <c r="I115" s="370"/>
      <c r="J115" s="370"/>
      <c r="K115" s="370"/>
      <c r="L115" s="370"/>
      <c r="M115" s="370"/>
      <c r="N115" s="370"/>
      <c r="O115" s="370"/>
      <c r="P115" s="370"/>
    </row>
    <row r="116" spans="1:16" s="342" customFormat="1">
      <c r="A116" s="370"/>
      <c r="B116" s="370"/>
      <c r="C116" s="370"/>
      <c r="D116" s="370"/>
      <c r="E116" s="370"/>
      <c r="F116" s="370"/>
      <c r="G116" s="370"/>
      <c r="H116" s="370"/>
      <c r="I116" s="370"/>
      <c r="J116" s="370"/>
      <c r="K116" s="370"/>
      <c r="L116" s="370"/>
      <c r="M116" s="370"/>
      <c r="N116" s="370"/>
      <c r="O116" s="370"/>
      <c r="P116" s="370"/>
    </row>
    <row r="117" spans="1:16" s="342" customFormat="1">
      <c r="A117" s="370"/>
      <c r="B117" s="370"/>
      <c r="C117" s="370"/>
      <c r="D117" s="370"/>
      <c r="E117" s="370"/>
      <c r="F117" s="370"/>
      <c r="G117" s="370"/>
      <c r="H117" s="370"/>
      <c r="I117" s="370"/>
      <c r="J117" s="370"/>
      <c r="K117" s="370"/>
      <c r="L117" s="370"/>
      <c r="M117" s="370"/>
      <c r="N117" s="370"/>
      <c r="O117" s="370"/>
      <c r="P117" s="370"/>
    </row>
    <row r="118" spans="1:16" s="342" customFormat="1">
      <c r="A118" s="370"/>
      <c r="B118" s="370"/>
      <c r="C118" s="370"/>
      <c r="D118" s="370"/>
      <c r="E118" s="370"/>
      <c r="F118" s="370"/>
      <c r="G118" s="370"/>
      <c r="H118" s="370"/>
      <c r="I118" s="370"/>
      <c r="J118" s="370"/>
      <c r="K118" s="370"/>
      <c r="L118" s="370"/>
      <c r="M118" s="370"/>
      <c r="N118" s="370"/>
      <c r="O118" s="370"/>
      <c r="P118" s="370"/>
    </row>
    <row r="119" spans="1:16" s="342" customFormat="1">
      <c r="A119" s="370"/>
      <c r="B119" s="370"/>
      <c r="C119" s="370"/>
      <c r="D119" s="370"/>
      <c r="E119" s="370"/>
      <c r="F119" s="370"/>
      <c r="G119" s="370"/>
      <c r="H119" s="370"/>
      <c r="I119" s="370"/>
      <c r="J119" s="370"/>
      <c r="K119" s="370"/>
      <c r="L119" s="370"/>
      <c r="M119" s="370"/>
      <c r="N119" s="370"/>
      <c r="O119" s="370"/>
      <c r="P119" s="370"/>
    </row>
    <row r="120" spans="1:16" s="342" customFormat="1">
      <c r="A120" s="370"/>
      <c r="B120" s="370"/>
      <c r="C120" s="370"/>
      <c r="D120" s="370"/>
      <c r="E120" s="370"/>
      <c r="F120" s="370"/>
      <c r="G120" s="370"/>
      <c r="H120" s="370"/>
      <c r="I120" s="370"/>
      <c r="J120" s="370"/>
      <c r="K120" s="370"/>
      <c r="L120" s="370"/>
      <c r="M120" s="370"/>
      <c r="N120" s="370"/>
      <c r="O120" s="370"/>
      <c r="P120" s="370"/>
    </row>
    <row r="121" spans="1:16" s="342" customFormat="1">
      <c r="A121" s="370"/>
      <c r="B121" s="370"/>
      <c r="C121" s="370"/>
      <c r="D121" s="370"/>
      <c r="E121" s="370"/>
      <c r="F121" s="370"/>
      <c r="G121" s="370"/>
      <c r="H121" s="370"/>
      <c r="I121" s="370"/>
      <c r="J121" s="370"/>
      <c r="K121" s="370"/>
      <c r="L121" s="370"/>
      <c r="M121" s="370"/>
      <c r="N121" s="370"/>
      <c r="O121" s="370"/>
      <c r="P121" s="370"/>
    </row>
    <row r="122" spans="1:16" s="342" customFormat="1">
      <c r="A122" s="370"/>
      <c r="B122" s="370"/>
      <c r="C122" s="370"/>
      <c r="D122" s="370"/>
      <c r="E122" s="370"/>
      <c r="F122" s="370"/>
      <c r="G122" s="370"/>
      <c r="H122" s="370"/>
      <c r="I122" s="370"/>
      <c r="J122" s="370"/>
      <c r="K122" s="370"/>
      <c r="L122" s="370"/>
      <c r="M122" s="370"/>
      <c r="N122" s="370"/>
      <c r="O122" s="370"/>
      <c r="P122" s="370"/>
    </row>
    <row r="123" spans="1:16" s="342" customFormat="1">
      <c r="A123" s="370"/>
      <c r="B123" s="370"/>
      <c r="C123" s="370"/>
      <c r="D123" s="370"/>
      <c r="E123" s="370"/>
      <c r="F123" s="370"/>
      <c r="G123" s="370"/>
      <c r="H123" s="370"/>
      <c r="I123" s="370"/>
      <c r="J123" s="370"/>
      <c r="K123" s="370"/>
      <c r="L123" s="370"/>
      <c r="M123" s="370"/>
      <c r="N123" s="370"/>
      <c r="O123" s="370"/>
      <c r="P123" s="370"/>
    </row>
    <row r="124" spans="1:16" s="342" customFormat="1">
      <c r="A124" s="370"/>
      <c r="B124" s="370"/>
      <c r="C124" s="370"/>
      <c r="D124" s="370"/>
      <c r="E124" s="370"/>
      <c r="F124" s="370"/>
      <c r="G124" s="370"/>
      <c r="H124" s="370"/>
      <c r="I124" s="370"/>
      <c r="J124" s="370"/>
      <c r="K124" s="370"/>
      <c r="L124" s="370"/>
      <c r="M124" s="370"/>
      <c r="N124" s="370"/>
      <c r="O124" s="370"/>
      <c r="P124" s="370"/>
    </row>
    <row r="125" spans="1:16" s="342" customFormat="1">
      <c r="A125" s="370"/>
      <c r="B125" s="370"/>
      <c r="C125" s="370"/>
      <c r="D125" s="370"/>
      <c r="E125" s="370"/>
      <c r="F125" s="370"/>
      <c r="G125" s="370"/>
      <c r="H125" s="370"/>
      <c r="I125" s="370"/>
      <c r="J125" s="370"/>
      <c r="K125" s="370"/>
      <c r="L125" s="370"/>
      <c r="M125" s="370"/>
      <c r="N125" s="370"/>
      <c r="O125" s="370"/>
      <c r="P125" s="370"/>
    </row>
    <row r="126" spans="1:16" s="342" customFormat="1">
      <c r="A126" s="370"/>
      <c r="B126" s="370"/>
      <c r="C126" s="370"/>
      <c r="D126" s="370"/>
      <c r="E126" s="370"/>
      <c r="F126" s="370"/>
      <c r="G126" s="370"/>
      <c r="H126" s="370"/>
      <c r="I126" s="370"/>
      <c r="J126" s="370"/>
      <c r="K126" s="370"/>
      <c r="L126" s="370"/>
      <c r="M126" s="370"/>
      <c r="N126" s="370"/>
      <c r="O126" s="370"/>
      <c r="P126" s="370"/>
    </row>
    <row r="127" spans="1:16" s="342" customFormat="1">
      <c r="A127" s="370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</row>
    <row r="128" spans="1:16" s="342" customFormat="1">
      <c r="A128" s="370"/>
      <c r="B128" s="370"/>
      <c r="C128" s="370"/>
      <c r="D128" s="370"/>
      <c r="E128" s="370"/>
      <c r="F128" s="370"/>
      <c r="G128" s="370"/>
      <c r="H128" s="370"/>
      <c r="I128" s="370"/>
      <c r="J128" s="370"/>
      <c r="K128" s="370"/>
      <c r="L128" s="370"/>
      <c r="M128" s="370"/>
      <c r="N128" s="370"/>
      <c r="O128" s="370"/>
      <c r="P128" s="370"/>
    </row>
    <row r="129" spans="1:16" s="342" customFormat="1">
      <c r="A129" s="370"/>
      <c r="B129" s="370"/>
      <c r="C129" s="370"/>
      <c r="D129" s="370"/>
      <c r="E129" s="370"/>
      <c r="F129" s="370"/>
      <c r="G129" s="370"/>
      <c r="H129" s="370"/>
      <c r="I129" s="370"/>
      <c r="J129" s="370"/>
      <c r="K129" s="370"/>
      <c r="L129" s="370"/>
      <c r="M129" s="370"/>
      <c r="N129" s="370"/>
      <c r="O129" s="370"/>
      <c r="P129" s="370"/>
    </row>
    <row r="130" spans="1:16" s="342" customFormat="1">
      <c r="A130" s="370"/>
      <c r="B130" s="370"/>
      <c r="C130" s="370"/>
      <c r="D130" s="370"/>
      <c r="E130" s="370"/>
      <c r="F130" s="370"/>
      <c r="G130" s="370"/>
      <c r="H130" s="370"/>
      <c r="I130" s="370"/>
      <c r="J130" s="370"/>
      <c r="K130" s="370"/>
      <c r="L130" s="370"/>
      <c r="M130" s="370"/>
      <c r="N130" s="370"/>
      <c r="O130" s="370"/>
      <c r="P130" s="370"/>
    </row>
    <row r="131" spans="1:16" s="342" customFormat="1">
      <c r="A131" s="370"/>
      <c r="B131" s="370"/>
      <c r="C131" s="370"/>
      <c r="D131" s="370"/>
      <c r="E131" s="370"/>
      <c r="F131" s="370"/>
      <c r="G131" s="370"/>
      <c r="H131" s="370"/>
      <c r="I131" s="370"/>
      <c r="J131" s="370"/>
      <c r="K131" s="370"/>
      <c r="L131" s="370"/>
      <c r="M131" s="370"/>
      <c r="N131" s="370"/>
      <c r="O131" s="370"/>
      <c r="P131" s="370"/>
    </row>
    <row r="132" spans="1:16" s="342" customFormat="1">
      <c r="A132" s="370"/>
      <c r="B132" s="370"/>
      <c r="C132" s="370"/>
      <c r="D132" s="370"/>
      <c r="E132" s="370"/>
      <c r="F132" s="370"/>
      <c r="G132" s="370"/>
      <c r="H132" s="370"/>
      <c r="I132" s="370"/>
      <c r="J132" s="370"/>
      <c r="K132" s="370"/>
      <c r="L132" s="370"/>
      <c r="M132" s="370"/>
      <c r="N132" s="370"/>
      <c r="O132" s="370"/>
      <c r="P132" s="370"/>
    </row>
    <row r="133" spans="1:16" s="342" customFormat="1">
      <c r="A133" s="370"/>
      <c r="B133" s="370"/>
      <c r="C133" s="370"/>
      <c r="D133" s="370"/>
      <c r="E133" s="370"/>
      <c r="F133" s="370"/>
      <c r="G133" s="370"/>
      <c r="H133" s="370"/>
      <c r="I133" s="370"/>
      <c r="J133" s="370"/>
      <c r="K133" s="370"/>
      <c r="L133" s="370"/>
      <c r="M133" s="370"/>
      <c r="N133" s="370"/>
      <c r="O133" s="370"/>
      <c r="P133" s="370"/>
    </row>
    <row r="134" spans="1:16" s="342" customFormat="1">
      <c r="A134" s="370"/>
      <c r="B134" s="370"/>
      <c r="C134" s="370"/>
      <c r="D134" s="370"/>
      <c r="E134" s="370"/>
      <c r="F134" s="370"/>
      <c r="G134" s="370"/>
      <c r="H134" s="370"/>
      <c r="I134" s="370"/>
      <c r="J134" s="370"/>
      <c r="K134" s="370"/>
      <c r="L134" s="370"/>
      <c r="M134" s="370"/>
      <c r="N134" s="370"/>
      <c r="O134" s="370"/>
      <c r="P134" s="370"/>
    </row>
    <row r="135" spans="1:16" s="342" customFormat="1">
      <c r="A135" s="370"/>
      <c r="B135" s="370"/>
      <c r="C135" s="370"/>
      <c r="D135" s="370"/>
      <c r="E135" s="370"/>
      <c r="F135" s="370"/>
      <c r="G135" s="370"/>
      <c r="H135" s="370"/>
      <c r="I135" s="370"/>
      <c r="J135" s="370"/>
      <c r="K135" s="370"/>
      <c r="L135" s="370"/>
      <c r="M135" s="370"/>
      <c r="N135" s="370"/>
      <c r="O135" s="370"/>
      <c r="P135" s="370"/>
    </row>
    <row r="136" spans="1:16" s="342" customFormat="1">
      <c r="A136" s="370"/>
      <c r="B136" s="370"/>
      <c r="C136" s="370"/>
      <c r="D136" s="370"/>
      <c r="E136" s="370"/>
      <c r="F136" s="370"/>
      <c r="G136" s="370"/>
      <c r="H136" s="370"/>
      <c r="I136" s="370"/>
      <c r="J136" s="370"/>
      <c r="K136" s="370"/>
      <c r="L136" s="370"/>
      <c r="M136" s="370"/>
      <c r="N136" s="370"/>
      <c r="O136" s="370"/>
      <c r="P136" s="370"/>
    </row>
    <row r="137" spans="1:16" s="342" customFormat="1">
      <c r="A137" s="370"/>
      <c r="B137" s="370"/>
      <c r="C137" s="370"/>
      <c r="D137" s="370"/>
      <c r="E137" s="370"/>
      <c r="F137" s="370"/>
      <c r="G137" s="370"/>
      <c r="H137" s="370"/>
      <c r="I137" s="370"/>
      <c r="J137" s="370"/>
      <c r="K137" s="370"/>
      <c r="L137" s="370"/>
      <c r="M137" s="370"/>
      <c r="N137" s="370"/>
      <c r="O137" s="370"/>
      <c r="P137" s="370"/>
    </row>
    <row r="138" spans="1:16" s="342" customFormat="1">
      <c r="A138" s="370"/>
      <c r="B138" s="370"/>
      <c r="C138" s="370"/>
      <c r="D138" s="370"/>
      <c r="E138" s="370"/>
      <c r="F138" s="370"/>
      <c r="G138" s="370"/>
      <c r="H138" s="370"/>
      <c r="I138" s="370"/>
      <c r="J138" s="370"/>
      <c r="K138" s="370"/>
      <c r="L138" s="370"/>
      <c r="M138" s="370"/>
      <c r="N138" s="370"/>
      <c r="O138" s="370"/>
      <c r="P138" s="370"/>
    </row>
    <row r="139" spans="1:16" s="342" customFormat="1">
      <c r="A139" s="370"/>
      <c r="B139" s="370"/>
      <c r="C139" s="370"/>
      <c r="D139" s="370"/>
      <c r="E139" s="370"/>
      <c r="F139" s="370"/>
      <c r="G139" s="370"/>
      <c r="H139" s="370"/>
      <c r="I139" s="370"/>
      <c r="J139" s="370"/>
      <c r="K139" s="370"/>
      <c r="L139" s="370"/>
      <c r="M139" s="370"/>
      <c r="N139" s="370"/>
      <c r="O139" s="370"/>
      <c r="P139" s="370"/>
    </row>
    <row r="140" spans="1:16" s="342" customFormat="1">
      <c r="A140" s="370"/>
      <c r="B140" s="370"/>
      <c r="C140" s="370"/>
      <c r="D140" s="370"/>
      <c r="E140" s="370"/>
      <c r="F140" s="370"/>
      <c r="G140" s="370"/>
      <c r="H140" s="370"/>
      <c r="I140" s="370"/>
      <c r="J140" s="370"/>
      <c r="K140" s="370"/>
      <c r="L140" s="370"/>
      <c r="M140" s="370"/>
      <c r="N140" s="370"/>
      <c r="O140" s="370"/>
      <c r="P140" s="370"/>
    </row>
    <row r="141" spans="1:16" s="342" customFormat="1">
      <c r="A141" s="370"/>
      <c r="B141" s="370"/>
      <c r="C141" s="370"/>
      <c r="D141" s="370"/>
      <c r="E141" s="370"/>
      <c r="F141" s="370"/>
      <c r="G141" s="370"/>
      <c r="H141" s="370"/>
      <c r="I141" s="370"/>
      <c r="J141" s="370"/>
      <c r="K141" s="370"/>
      <c r="L141" s="370"/>
      <c r="M141" s="370"/>
      <c r="N141" s="370"/>
      <c r="O141" s="370"/>
      <c r="P141" s="370"/>
    </row>
    <row r="142" spans="1:16" s="342" customFormat="1">
      <c r="A142" s="370"/>
      <c r="B142" s="370"/>
      <c r="C142" s="370"/>
      <c r="D142" s="370"/>
      <c r="E142" s="370"/>
      <c r="F142" s="370"/>
      <c r="G142" s="370"/>
      <c r="H142" s="370"/>
      <c r="I142" s="370"/>
      <c r="J142" s="370"/>
      <c r="K142" s="370"/>
      <c r="L142" s="370"/>
      <c r="M142" s="370"/>
      <c r="N142" s="370"/>
      <c r="O142" s="370"/>
      <c r="P142" s="370"/>
    </row>
    <row r="143" spans="1:16" s="342" customFormat="1">
      <c r="A143" s="370"/>
      <c r="B143" s="370"/>
      <c r="C143" s="370"/>
      <c r="D143" s="370"/>
      <c r="E143" s="370"/>
      <c r="F143" s="370"/>
      <c r="G143" s="370"/>
      <c r="H143" s="370"/>
      <c r="I143" s="370"/>
      <c r="J143" s="370"/>
      <c r="K143" s="370"/>
      <c r="L143" s="370"/>
      <c r="M143" s="370"/>
      <c r="N143" s="370"/>
      <c r="O143" s="370"/>
      <c r="P143" s="370"/>
    </row>
    <row r="144" spans="1:16" s="342" customFormat="1">
      <c r="A144" s="370"/>
      <c r="B144" s="370"/>
      <c r="C144" s="370"/>
      <c r="D144" s="370"/>
      <c r="E144" s="370"/>
      <c r="F144" s="370"/>
      <c r="G144" s="370"/>
      <c r="H144" s="370"/>
      <c r="I144" s="370"/>
      <c r="J144" s="370"/>
      <c r="K144" s="370"/>
      <c r="L144" s="370"/>
      <c r="M144" s="370"/>
      <c r="N144" s="370"/>
      <c r="O144" s="370"/>
      <c r="P144" s="370"/>
    </row>
    <row r="145" spans="1:16" s="342" customFormat="1">
      <c r="A145" s="370"/>
      <c r="B145" s="370"/>
      <c r="C145" s="370"/>
      <c r="D145" s="370"/>
      <c r="E145" s="370"/>
      <c r="F145" s="370"/>
      <c r="G145" s="370"/>
      <c r="H145" s="370"/>
      <c r="I145" s="370"/>
      <c r="J145" s="370"/>
      <c r="K145" s="370"/>
      <c r="L145" s="370"/>
      <c r="M145" s="370"/>
      <c r="N145" s="370"/>
      <c r="O145" s="370"/>
      <c r="P145" s="370"/>
    </row>
    <row r="146" spans="1:16" s="342" customFormat="1">
      <c r="A146" s="370"/>
      <c r="B146" s="370"/>
      <c r="C146" s="370"/>
      <c r="D146" s="370"/>
      <c r="E146" s="370"/>
      <c r="F146" s="370"/>
      <c r="G146" s="370"/>
      <c r="H146" s="370"/>
      <c r="I146" s="370"/>
      <c r="J146" s="370"/>
      <c r="K146" s="370"/>
      <c r="L146" s="370"/>
      <c r="M146" s="370"/>
      <c r="N146" s="370"/>
      <c r="O146" s="370"/>
      <c r="P146" s="370"/>
    </row>
    <row r="147" spans="1:16" s="342" customFormat="1">
      <c r="A147" s="370"/>
      <c r="B147" s="370"/>
      <c r="C147" s="370"/>
      <c r="D147" s="370"/>
      <c r="E147" s="370"/>
      <c r="F147" s="370"/>
      <c r="G147" s="370"/>
      <c r="H147" s="370"/>
      <c r="I147" s="370"/>
      <c r="J147" s="370"/>
      <c r="K147" s="370"/>
      <c r="L147" s="370"/>
      <c r="M147" s="370"/>
      <c r="N147" s="370"/>
      <c r="O147" s="370"/>
      <c r="P147" s="370"/>
    </row>
    <row r="148" spans="1:16" s="342" customFormat="1">
      <c r="A148" s="370"/>
      <c r="B148" s="370"/>
      <c r="C148" s="370"/>
      <c r="D148" s="370"/>
      <c r="E148" s="370"/>
      <c r="F148" s="370"/>
      <c r="G148" s="370"/>
      <c r="H148" s="370"/>
      <c r="I148" s="370"/>
      <c r="J148" s="370"/>
      <c r="K148" s="370"/>
      <c r="L148" s="370"/>
      <c r="M148" s="370"/>
      <c r="N148" s="370"/>
      <c r="O148" s="370"/>
      <c r="P148" s="370"/>
    </row>
    <row r="149" spans="1:16" s="342" customFormat="1">
      <c r="A149" s="370"/>
      <c r="B149" s="370"/>
      <c r="C149" s="370"/>
      <c r="D149" s="370"/>
      <c r="E149" s="370"/>
      <c r="F149" s="370"/>
      <c r="G149" s="370"/>
      <c r="H149" s="370"/>
      <c r="I149" s="370"/>
      <c r="J149" s="370"/>
      <c r="K149" s="370"/>
      <c r="L149" s="370"/>
      <c r="M149" s="370"/>
      <c r="N149" s="370"/>
      <c r="O149" s="370"/>
      <c r="P149" s="370"/>
    </row>
    <row r="150" spans="1:16" s="342" customFormat="1">
      <c r="A150" s="370"/>
      <c r="B150" s="370"/>
      <c r="C150" s="370"/>
      <c r="D150" s="370"/>
      <c r="E150" s="370"/>
      <c r="F150" s="370"/>
      <c r="G150" s="370"/>
      <c r="H150" s="370"/>
      <c r="I150" s="370"/>
      <c r="J150" s="370"/>
      <c r="K150" s="370"/>
      <c r="L150" s="370"/>
      <c r="M150" s="370"/>
      <c r="N150" s="370"/>
      <c r="O150" s="370"/>
      <c r="P150" s="370"/>
    </row>
    <row r="151" spans="1:16" s="342" customFormat="1">
      <c r="A151" s="370"/>
      <c r="B151" s="370"/>
      <c r="C151" s="370"/>
      <c r="D151" s="370"/>
      <c r="E151" s="370"/>
      <c r="F151" s="370"/>
      <c r="G151" s="370"/>
      <c r="H151" s="370"/>
      <c r="I151" s="370"/>
      <c r="J151" s="370"/>
      <c r="K151" s="370"/>
      <c r="L151" s="370"/>
      <c r="M151" s="370"/>
      <c r="N151" s="370"/>
      <c r="O151" s="370"/>
      <c r="P151" s="370"/>
    </row>
    <row r="152" spans="1:16" s="342" customFormat="1">
      <c r="A152" s="370"/>
      <c r="B152" s="370"/>
      <c r="C152" s="370"/>
      <c r="D152" s="370"/>
      <c r="E152" s="370"/>
      <c r="F152" s="370"/>
      <c r="G152" s="370"/>
      <c r="H152" s="370"/>
      <c r="I152" s="370"/>
      <c r="J152" s="370"/>
      <c r="K152" s="370"/>
      <c r="L152" s="370"/>
      <c r="M152" s="370"/>
      <c r="N152" s="370"/>
      <c r="O152" s="370"/>
      <c r="P152" s="370"/>
    </row>
    <row r="153" spans="1:16" s="342" customFormat="1">
      <c r="A153" s="370"/>
      <c r="B153" s="370"/>
      <c r="C153" s="370"/>
      <c r="D153" s="370"/>
      <c r="E153" s="370"/>
      <c r="F153" s="370"/>
      <c r="G153" s="370"/>
      <c r="H153" s="370"/>
      <c r="I153" s="370"/>
      <c r="J153" s="370"/>
      <c r="K153" s="370"/>
      <c r="L153" s="370"/>
      <c r="M153" s="370"/>
      <c r="N153" s="370"/>
      <c r="O153" s="370"/>
      <c r="P153" s="370"/>
    </row>
    <row r="154" spans="1:16" s="342" customFormat="1">
      <c r="A154" s="370"/>
      <c r="B154" s="370"/>
      <c r="C154" s="370"/>
      <c r="D154" s="370"/>
      <c r="E154" s="370"/>
      <c r="F154" s="370"/>
      <c r="G154" s="370"/>
      <c r="H154" s="370"/>
      <c r="I154" s="370"/>
      <c r="J154" s="370"/>
      <c r="K154" s="370"/>
      <c r="L154" s="370"/>
      <c r="M154" s="370"/>
      <c r="N154" s="370"/>
      <c r="O154" s="370"/>
      <c r="P154" s="370"/>
    </row>
    <row r="155" spans="1:16" s="342" customFormat="1">
      <c r="A155" s="370"/>
      <c r="B155" s="370"/>
      <c r="C155" s="370"/>
      <c r="D155" s="370"/>
      <c r="E155" s="370"/>
      <c r="F155" s="370"/>
      <c r="G155" s="370"/>
      <c r="H155" s="370"/>
      <c r="I155" s="370"/>
      <c r="J155" s="370"/>
      <c r="K155" s="370"/>
      <c r="L155" s="370"/>
      <c r="M155" s="370"/>
      <c r="N155" s="370"/>
      <c r="O155" s="370"/>
      <c r="P155" s="370"/>
    </row>
    <row r="156" spans="1:16" s="342" customFormat="1">
      <c r="A156" s="370"/>
      <c r="B156" s="370"/>
      <c r="C156" s="370"/>
      <c r="D156" s="370"/>
      <c r="E156" s="370"/>
      <c r="F156" s="370"/>
      <c r="G156" s="370"/>
      <c r="H156" s="370"/>
      <c r="I156" s="370"/>
      <c r="J156" s="370"/>
      <c r="K156" s="370"/>
      <c r="L156" s="370"/>
      <c r="M156" s="370"/>
      <c r="N156" s="370"/>
      <c r="O156" s="370"/>
      <c r="P156" s="370"/>
    </row>
    <row r="157" spans="1:16" s="342" customFormat="1">
      <c r="A157" s="370"/>
      <c r="B157" s="370"/>
      <c r="C157" s="370"/>
      <c r="D157" s="370"/>
      <c r="E157" s="370"/>
      <c r="F157" s="370"/>
      <c r="G157" s="370"/>
      <c r="H157" s="370"/>
      <c r="I157" s="370"/>
      <c r="J157" s="370"/>
      <c r="K157" s="370"/>
      <c r="L157" s="370"/>
      <c r="M157" s="370"/>
      <c r="N157" s="370"/>
      <c r="O157" s="370"/>
      <c r="P157" s="370"/>
    </row>
    <row r="158" spans="1:16" s="342" customFormat="1">
      <c r="A158" s="370"/>
      <c r="B158" s="370"/>
      <c r="C158" s="370"/>
      <c r="D158" s="370"/>
      <c r="E158" s="370"/>
      <c r="F158" s="370"/>
      <c r="G158" s="370"/>
      <c r="H158" s="370"/>
      <c r="I158" s="370"/>
      <c r="J158" s="370"/>
      <c r="K158" s="370"/>
      <c r="L158" s="370"/>
      <c r="M158" s="370"/>
      <c r="N158" s="370"/>
      <c r="O158" s="370"/>
      <c r="P158" s="370"/>
    </row>
    <row r="159" spans="1:16" s="342" customFormat="1">
      <c r="A159" s="370"/>
      <c r="B159" s="370"/>
      <c r="C159" s="370"/>
      <c r="D159" s="370"/>
      <c r="E159" s="370"/>
      <c r="F159" s="370"/>
      <c r="G159" s="370"/>
      <c r="H159" s="370"/>
      <c r="I159" s="370"/>
      <c r="J159" s="370"/>
      <c r="K159" s="370"/>
      <c r="L159" s="370"/>
      <c r="M159" s="370"/>
      <c r="N159" s="370"/>
      <c r="O159" s="370"/>
      <c r="P159" s="370"/>
    </row>
    <row r="160" spans="1:16" s="342" customFormat="1">
      <c r="A160" s="370"/>
      <c r="B160" s="370"/>
      <c r="C160" s="370"/>
      <c r="D160" s="370"/>
      <c r="E160" s="370"/>
      <c r="F160" s="370"/>
      <c r="G160" s="370"/>
      <c r="H160" s="370"/>
      <c r="I160" s="370"/>
      <c r="J160" s="370"/>
      <c r="K160" s="370"/>
      <c r="L160" s="370"/>
      <c r="M160" s="370"/>
      <c r="N160" s="370"/>
      <c r="O160" s="370"/>
      <c r="P160" s="370"/>
    </row>
    <row r="161" spans="1:16" s="342" customFormat="1">
      <c r="A161" s="370"/>
      <c r="B161" s="370"/>
      <c r="C161" s="370"/>
      <c r="D161" s="370"/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</row>
    <row r="162" spans="1:16" s="342" customFormat="1">
      <c r="A162" s="370"/>
      <c r="B162" s="370"/>
      <c r="C162" s="370"/>
      <c r="D162" s="370"/>
      <c r="E162" s="370"/>
      <c r="F162" s="370"/>
      <c r="G162" s="370"/>
      <c r="H162" s="370"/>
      <c r="I162" s="370"/>
      <c r="J162" s="370"/>
      <c r="K162" s="370"/>
      <c r="L162" s="370"/>
      <c r="M162" s="370"/>
      <c r="N162" s="370"/>
      <c r="O162" s="370"/>
      <c r="P162" s="370"/>
    </row>
    <row r="163" spans="1:16" s="342" customFormat="1">
      <c r="A163" s="370"/>
      <c r="B163" s="370"/>
      <c r="C163" s="370"/>
      <c r="D163" s="370"/>
      <c r="E163" s="370"/>
      <c r="F163" s="370"/>
      <c r="G163" s="370"/>
      <c r="H163" s="370"/>
      <c r="I163" s="370"/>
      <c r="J163" s="370"/>
      <c r="K163" s="370"/>
      <c r="L163" s="370"/>
      <c r="M163" s="370"/>
      <c r="N163" s="370"/>
      <c r="O163" s="370"/>
      <c r="P163" s="370"/>
    </row>
    <row r="164" spans="1:16" s="342" customFormat="1">
      <c r="A164" s="370"/>
      <c r="B164" s="370"/>
      <c r="C164" s="370"/>
      <c r="D164" s="370"/>
      <c r="E164" s="370"/>
      <c r="F164" s="370"/>
      <c r="G164" s="370"/>
      <c r="H164" s="370"/>
      <c r="I164" s="370"/>
      <c r="J164" s="370"/>
      <c r="K164" s="370"/>
      <c r="L164" s="370"/>
      <c r="M164" s="370"/>
      <c r="N164" s="370"/>
      <c r="O164" s="370"/>
      <c r="P164" s="370"/>
    </row>
    <row r="165" spans="1:16" s="342" customFormat="1">
      <c r="A165" s="370"/>
      <c r="B165" s="370"/>
      <c r="C165" s="370"/>
      <c r="D165" s="370"/>
      <c r="E165" s="370"/>
      <c r="F165" s="370"/>
      <c r="G165" s="370"/>
      <c r="H165" s="370"/>
      <c r="I165" s="370"/>
      <c r="J165" s="370"/>
      <c r="K165" s="370"/>
      <c r="L165" s="370"/>
      <c r="M165" s="370"/>
      <c r="N165" s="370"/>
      <c r="O165" s="370"/>
      <c r="P165" s="370"/>
    </row>
    <row r="166" spans="1:16" s="342" customFormat="1">
      <c r="A166" s="370"/>
      <c r="B166" s="370"/>
      <c r="C166" s="370"/>
      <c r="D166" s="370"/>
      <c r="E166" s="370"/>
      <c r="F166" s="370"/>
      <c r="G166" s="370"/>
      <c r="H166" s="370"/>
      <c r="I166" s="370"/>
      <c r="J166" s="370"/>
      <c r="K166" s="370"/>
      <c r="L166" s="370"/>
      <c r="M166" s="370"/>
      <c r="N166" s="370"/>
      <c r="O166" s="370"/>
      <c r="P166" s="370"/>
    </row>
    <row r="167" spans="1:16" s="342" customFormat="1">
      <c r="A167" s="370"/>
      <c r="B167" s="370"/>
      <c r="C167" s="370"/>
      <c r="D167" s="370"/>
      <c r="E167" s="370"/>
      <c r="F167" s="370"/>
      <c r="G167" s="370"/>
      <c r="H167" s="370"/>
      <c r="I167" s="370"/>
      <c r="J167" s="370"/>
      <c r="K167" s="370"/>
      <c r="L167" s="370"/>
      <c r="M167" s="370"/>
      <c r="N167" s="370"/>
      <c r="O167" s="370"/>
      <c r="P167" s="370"/>
    </row>
    <row r="168" spans="1:16" s="342" customFormat="1">
      <c r="A168" s="370"/>
      <c r="B168" s="370"/>
      <c r="C168" s="370"/>
      <c r="D168" s="370"/>
      <c r="E168" s="370"/>
      <c r="F168" s="370"/>
      <c r="G168" s="370"/>
      <c r="H168" s="370"/>
      <c r="I168" s="370"/>
      <c r="J168" s="370"/>
      <c r="K168" s="370"/>
      <c r="L168" s="370"/>
      <c r="M168" s="370"/>
      <c r="N168" s="370"/>
      <c r="O168" s="370"/>
      <c r="P168" s="370"/>
    </row>
    <row r="169" spans="1:16" s="342" customFormat="1">
      <c r="A169" s="370"/>
      <c r="B169" s="370"/>
      <c r="C169" s="370"/>
      <c r="D169" s="370"/>
      <c r="E169" s="370"/>
      <c r="F169" s="370"/>
      <c r="G169" s="370"/>
      <c r="H169" s="370"/>
      <c r="I169" s="370"/>
      <c r="J169" s="370"/>
      <c r="K169" s="370"/>
      <c r="L169" s="370"/>
      <c r="M169" s="370"/>
      <c r="N169" s="370"/>
      <c r="O169" s="370"/>
      <c r="P169" s="370"/>
    </row>
    <row r="170" spans="1:16" s="342" customFormat="1">
      <c r="A170" s="370"/>
      <c r="B170" s="370"/>
      <c r="C170" s="370"/>
      <c r="D170" s="370"/>
      <c r="E170" s="370"/>
      <c r="F170" s="370"/>
      <c r="G170" s="370"/>
      <c r="H170" s="370"/>
      <c r="I170" s="370"/>
      <c r="J170" s="370"/>
      <c r="K170" s="370"/>
      <c r="L170" s="370"/>
      <c r="M170" s="370"/>
      <c r="N170" s="370"/>
      <c r="O170" s="370"/>
      <c r="P170" s="370"/>
    </row>
    <row r="171" spans="1:16" s="342" customFormat="1">
      <c r="A171" s="370"/>
      <c r="B171" s="370"/>
      <c r="C171" s="370"/>
      <c r="D171" s="370"/>
      <c r="E171" s="370"/>
      <c r="F171" s="370"/>
      <c r="G171" s="370"/>
      <c r="H171" s="370"/>
      <c r="I171" s="370"/>
      <c r="J171" s="370"/>
      <c r="K171" s="370"/>
      <c r="L171" s="370"/>
      <c r="M171" s="370"/>
      <c r="N171" s="370"/>
      <c r="O171" s="370"/>
      <c r="P171" s="370"/>
    </row>
    <row r="172" spans="1:16" s="342" customFormat="1">
      <c r="A172" s="370"/>
      <c r="B172" s="370"/>
      <c r="C172" s="370"/>
      <c r="D172" s="370"/>
      <c r="E172" s="370"/>
      <c r="F172" s="370"/>
      <c r="G172" s="370"/>
      <c r="H172" s="370"/>
      <c r="I172" s="370"/>
      <c r="J172" s="370"/>
      <c r="K172" s="370"/>
      <c r="L172" s="370"/>
      <c r="M172" s="370"/>
      <c r="N172" s="370"/>
      <c r="O172" s="370"/>
      <c r="P172" s="370"/>
    </row>
    <row r="173" spans="1:16" s="342" customFormat="1">
      <c r="A173" s="370"/>
      <c r="B173" s="370"/>
      <c r="C173" s="370"/>
      <c r="D173" s="370"/>
      <c r="E173" s="370"/>
      <c r="F173" s="370"/>
      <c r="G173" s="370"/>
      <c r="H173" s="370"/>
      <c r="I173" s="370"/>
      <c r="J173" s="370"/>
      <c r="K173" s="370"/>
      <c r="L173" s="370"/>
      <c r="M173" s="370"/>
      <c r="N173" s="370"/>
      <c r="O173" s="370"/>
      <c r="P173" s="370"/>
    </row>
    <row r="174" spans="1:16" s="342" customFormat="1">
      <c r="A174" s="370"/>
      <c r="B174" s="370"/>
      <c r="C174" s="370"/>
      <c r="D174" s="370"/>
      <c r="E174" s="370"/>
      <c r="F174" s="370"/>
      <c r="G174" s="370"/>
      <c r="H174" s="370"/>
      <c r="I174" s="370"/>
      <c r="J174" s="370"/>
      <c r="K174" s="370"/>
      <c r="L174" s="370"/>
      <c r="M174" s="370"/>
      <c r="N174" s="370"/>
      <c r="O174" s="370"/>
      <c r="P174" s="370"/>
    </row>
    <row r="175" spans="1:16" s="342" customFormat="1">
      <c r="A175" s="370"/>
      <c r="B175" s="370"/>
      <c r="C175" s="370"/>
      <c r="D175" s="370"/>
      <c r="E175" s="370"/>
      <c r="F175" s="370"/>
      <c r="G175" s="370"/>
      <c r="H175" s="370"/>
      <c r="I175" s="370"/>
      <c r="J175" s="370"/>
      <c r="K175" s="370"/>
      <c r="L175" s="370"/>
      <c r="M175" s="370"/>
      <c r="N175" s="370"/>
      <c r="O175" s="370"/>
      <c r="P175" s="370"/>
    </row>
    <row r="176" spans="1:16" s="342" customFormat="1">
      <c r="A176" s="370"/>
      <c r="B176" s="370"/>
      <c r="C176" s="370"/>
      <c r="D176" s="370"/>
      <c r="E176" s="370"/>
      <c r="F176" s="370"/>
      <c r="G176" s="370"/>
      <c r="H176" s="370"/>
      <c r="I176" s="370"/>
      <c r="J176" s="370"/>
      <c r="K176" s="370"/>
      <c r="L176" s="370"/>
      <c r="M176" s="370"/>
      <c r="N176" s="370"/>
      <c r="O176" s="370"/>
      <c r="P176" s="370"/>
    </row>
    <row r="177" spans="1:16" s="342" customFormat="1">
      <c r="A177" s="370"/>
      <c r="B177" s="370"/>
      <c r="C177" s="370"/>
      <c r="D177" s="370"/>
      <c r="E177" s="370"/>
      <c r="F177" s="370"/>
      <c r="G177" s="370"/>
      <c r="H177" s="370"/>
      <c r="I177" s="370"/>
      <c r="J177" s="370"/>
      <c r="K177" s="370"/>
      <c r="L177" s="370"/>
      <c r="M177" s="370"/>
      <c r="N177" s="370"/>
      <c r="O177" s="370"/>
      <c r="P177" s="370"/>
    </row>
    <row r="178" spans="1:16" s="342" customFormat="1">
      <c r="A178" s="370"/>
      <c r="B178" s="370"/>
      <c r="C178" s="370"/>
      <c r="D178" s="370"/>
      <c r="E178" s="370"/>
      <c r="F178" s="370"/>
      <c r="G178" s="370"/>
      <c r="H178" s="370"/>
      <c r="I178" s="370"/>
      <c r="J178" s="370"/>
      <c r="K178" s="370"/>
      <c r="L178" s="370"/>
      <c r="M178" s="370"/>
      <c r="N178" s="370"/>
      <c r="O178" s="370"/>
      <c r="P178" s="370"/>
    </row>
    <row r="179" spans="1:16" s="342" customFormat="1">
      <c r="A179" s="370"/>
      <c r="B179" s="370"/>
      <c r="C179" s="370"/>
      <c r="D179" s="370"/>
      <c r="E179" s="370"/>
      <c r="F179" s="370"/>
      <c r="G179" s="370"/>
      <c r="H179" s="370"/>
      <c r="I179" s="370"/>
      <c r="J179" s="370"/>
      <c r="K179" s="370"/>
      <c r="L179" s="370"/>
      <c r="M179" s="370"/>
      <c r="N179" s="370"/>
      <c r="O179" s="370"/>
      <c r="P179" s="370"/>
    </row>
    <row r="180" spans="1:16" s="342" customFormat="1">
      <c r="A180" s="370"/>
      <c r="B180" s="370"/>
      <c r="C180" s="370"/>
      <c r="D180" s="370"/>
      <c r="E180" s="370"/>
      <c r="F180" s="370"/>
      <c r="G180" s="370"/>
      <c r="H180" s="370"/>
      <c r="I180" s="370"/>
      <c r="J180" s="370"/>
      <c r="K180" s="370"/>
      <c r="L180" s="370"/>
      <c r="M180" s="370"/>
      <c r="N180" s="370"/>
      <c r="O180" s="370"/>
      <c r="P180" s="370"/>
    </row>
    <row r="181" spans="1:16" s="342" customFormat="1">
      <c r="A181" s="370"/>
      <c r="B181" s="370"/>
      <c r="C181" s="370"/>
      <c r="D181" s="370"/>
      <c r="E181" s="370"/>
      <c r="F181" s="370"/>
      <c r="G181" s="370"/>
      <c r="H181" s="370"/>
      <c r="I181" s="370"/>
      <c r="J181" s="370"/>
      <c r="K181" s="370"/>
      <c r="L181" s="370"/>
      <c r="M181" s="370"/>
      <c r="N181" s="370"/>
      <c r="O181" s="370"/>
      <c r="P181" s="370"/>
    </row>
    <row r="182" spans="1:16" s="342" customFormat="1">
      <c r="A182" s="370"/>
      <c r="B182" s="370"/>
      <c r="C182" s="370"/>
      <c r="D182" s="370"/>
      <c r="E182" s="370"/>
      <c r="F182" s="370"/>
      <c r="G182" s="370"/>
      <c r="H182" s="370"/>
      <c r="I182" s="370"/>
      <c r="J182" s="370"/>
      <c r="K182" s="370"/>
      <c r="L182" s="370"/>
      <c r="M182" s="370"/>
      <c r="N182" s="370"/>
      <c r="O182" s="370"/>
      <c r="P182" s="370"/>
    </row>
    <row r="183" spans="1:16" s="342" customFormat="1">
      <c r="A183" s="370"/>
      <c r="B183" s="370"/>
      <c r="C183" s="370"/>
      <c r="D183" s="370"/>
      <c r="E183" s="370"/>
      <c r="F183" s="370"/>
      <c r="G183" s="370"/>
      <c r="H183" s="370"/>
      <c r="I183" s="370"/>
      <c r="J183" s="370"/>
      <c r="K183" s="370"/>
      <c r="L183" s="370"/>
      <c r="M183" s="370"/>
      <c r="N183" s="370"/>
      <c r="O183" s="370"/>
      <c r="P183" s="370"/>
    </row>
    <row r="184" spans="1:16" s="342" customFormat="1">
      <c r="A184" s="370"/>
      <c r="B184" s="370"/>
      <c r="C184" s="370"/>
      <c r="D184" s="370"/>
      <c r="E184" s="370"/>
      <c r="F184" s="370"/>
      <c r="G184" s="370"/>
      <c r="H184" s="370"/>
      <c r="I184" s="370"/>
      <c r="J184" s="370"/>
      <c r="K184" s="370"/>
      <c r="L184" s="370"/>
      <c r="M184" s="370"/>
      <c r="N184" s="370"/>
      <c r="O184" s="370"/>
      <c r="P184" s="370"/>
    </row>
    <row r="185" spans="1:16" s="342" customFormat="1">
      <c r="A185" s="370"/>
      <c r="B185" s="370"/>
      <c r="C185" s="370"/>
      <c r="D185" s="370"/>
      <c r="E185" s="370"/>
      <c r="F185" s="370"/>
      <c r="G185" s="370"/>
      <c r="H185" s="370"/>
      <c r="I185" s="370"/>
      <c r="J185" s="370"/>
      <c r="K185" s="370"/>
      <c r="L185" s="370"/>
      <c r="M185" s="370"/>
      <c r="N185" s="370"/>
      <c r="O185" s="370"/>
      <c r="P185" s="370"/>
    </row>
    <row r="186" spans="1:16" s="342" customFormat="1">
      <c r="A186" s="370"/>
      <c r="B186" s="370"/>
      <c r="C186" s="370"/>
      <c r="D186" s="370"/>
      <c r="E186" s="370"/>
      <c r="F186" s="370"/>
      <c r="G186" s="370"/>
      <c r="H186" s="370"/>
      <c r="I186" s="370"/>
      <c r="J186" s="370"/>
      <c r="K186" s="370"/>
      <c r="L186" s="370"/>
      <c r="M186" s="370"/>
      <c r="N186" s="370"/>
      <c r="O186" s="370"/>
      <c r="P186" s="370"/>
    </row>
    <row r="187" spans="1:16" s="342" customFormat="1">
      <c r="A187" s="370"/>
      <c r="B187" s="370"/>
      <c r="C187" s="370"/>
      <c r="D187" s="370"/>
      <c r="E187" s="370"/>
      <c r="F187" s="370"/>
      <c r="G187" s="370"/>
      <c r="H187" s="370"/>
      <c r="I187" s="370"/>
      <c r="J187" s="370"/>
      <c r="K187" s="370"/>
      <c r="L187" s="370"/>
      <c r="M187" s="370"/>
      <c r="N187" s="370"/>
      <c r="O187" s="370"/>
      <c r="P187" s="370"/>
    </row>
    <row r="188" spans="1:16" s="342" customFormat="1">
      <c r="A188" s="370"/>
      <c r="B188" s="370"/>
      <c r="C188" s="370"/>
      <c r="D188" s="370"/>
      <c r="E188" s="370"/>
      <c r="F188" s="370"/>
      <c r="G188" s="370"/>
      <c r="H188" s="370"/>
      <c r="I188" s="370"/>
      <c r="J188" s="370"/>
      <c r="K188" s="370"/>
      <c r="L188" s="370"/>
      <c r="M188" s="370"/>
      <c r="N188" s="370"/>
      <c r="O188" s="370"/>
      <c r="P188" s="370"/>
    </row>
    <row r="189" spans="1:16" s="342" customFormat="1">
      <c r="A189" s="370"/>
      <c r="B189" s="370"/>
      <c r="C189" s="370"/>
      <c r="D189" s="370"/>
      <c r="E189" s="370"/>
      <c r="F189" s="370"/>
      <c r="G189" s="370"/>
      <c r="H189" s="370"/>
      <c r="I189" s="370"/>
      <c r="J189" s="370"/>
      <c r="K189" s="370"/>
      <c r="L189" s="370"/>
      <c r="M189" s="370"/>
      <c r="N189" s="370"/>
      <c r="O189" s="370"/>
      <c r="P189" s="370"/>
    </row>
    <row r="190" spans="1:16" s="342" customFormat="1">
      <c r="A190" s="370"/>
      <c r="B190" s="370"/>
      <c r="C190" s="370"/>
      <c r="D190" s="370"/>
      <c r="E190" s="370"/>
      <c r="F190" s="370"/>
      <c r="G190" s="370"/>
      <c r="H190" s="370"/>
      <c r="I190" s="370"/>
      <c r="J190" s="370"/>
      <c r="K190" s="370"/>
      <c r="L190" s="370"/>
      <c r="M190" s="370"/>
      <c r="N190" s="370"/>
      <c r="O190" s="370"/>
      <c r="P190" s="370"/>
    </row>
    <row r="191" spans="1:16" s="342" customFormat="1">
      <c r="A191" s="370"/>
      <c r="B191" s="370"/>
      <c r="C191" s="370"/>
      <c r="D191" s="370"/>
      <c r="E191" s="370"/>
      <c r="F191" s="370"/>
      <c r="G191" s="370"/>
      <c r="H191" s="370"/>
      <c r="I191" s="370"/>
      <c r="J191" s="370"/>
      <c r="K191" s="370"/>
      <c r="L191" s="370"/>
      <c r="M191" s="370"/>
      <c r="N191" s="370"/>
      <c r="O191" s="370"/>
      <c r="P191" s="370"/>
    </row>
    <row r="192" spans="1:16" s="342" customFormat="1">
      <c r="A192" s="370"/>
      <c r="B192" s="370"/>
      <c r="C192" s="370"/>
      <c r="D192" s="370"/>
      <c r="E192" s="370"/>
      <c r="F192" s="370"/>
      <c r="G192" s="370"/>
      <c r="H192" s="370"/>
      <c r="I192" s="370"/>
      <c r="J192" s="370"/>
      <c r="K192" s="370"/>
      <c r="L192" s="370"/>
      <c r="M192" s="370"/>
      <c r="N192" s="370"/>
      <c r="O192" s="370"/>
      <c r="P192" s="370"/>
    </row>
    <row r="193" spans="1:16" s="342" customFormat="1">
      <c r="A193" s="370"/>
      <c r="B193" s="370"/>
      <c r="C193" s="370"/>
      <c r="D193" s="370"/>
      <c r="E193" s="370"/>
      <c r="F193" s="370"/>
      <c r="G193" s="370"/>
      <c r="H193" s="370"/>
      <c r="I193" s="370"/>
      <c r="J193" s="370"/>
      <c r="K193" s="370"/>
      <c r="L193" s="370"/>
      <c r="M193" s="370"/>
      <c r="N193" s="370"/>
      <c r="O193" s="370"/>
      <c r="P193" s="370"/>
    </row>
    <row r="194" spans="1:16" s="342" customFormat="1">
      <c r="A194" s="370"/>
      <c r="B194" s="370"/>
      <c r="C194" s="370"/>
      <c r="D194" s="370"/>
      <c r="E194" s="370"/>
      <c r="F194" s="370"/>
      <c r="G194" s="370"/>
      <c r="H194" s="370"/>
      <c r="I194" s="370"/>
      <c r="J194" s="370"/>
      <c r="K194" s="370"/>
      <c r="L194" s="370"/>
      <c r="M194" s="370"/>
      <c r="N194" s="370"/>
      <c r="O194" s="370"/>
      <c r="P194" s="370"/>
    </row>
    <row r="195" spans="1:16" s="342" customFormat="1">
      <c r="A195" s="370"/>
      <c r="B195" s="370"/>
      <c r="C195" s="370"/>
      <c r="D195" s="370"/>
      <c r="E195" s="370"/>
      <c r="F195" s="370"/>
      <c r="G195" s="370"/>
      <c r="H195" s="370"/>
      <c r="I195" s="370"/>
      <c r="J195" s="370"/>
      <c r="K195" s="370"/>
      <c r="L195" s="370"/>
      <c r="M195" s="370"/>
      <c r="N195" s="370"/>
      <c r="O195" s="370"/>
      <c r="P195" s="370"/>
    </row>
    <row r="196" spans="1:16" s="342" customFormat="1">
      <c r="A196" s="370"/>
      <c r="B196" s="370"/>
      <c r="C196" s="370"/>
      <c r="D196" s="370"/>
      <c r="E196" s="370"/>
      <c r="F196" s="370"/>
      <c r="G196" s="370"/>
      <c r="H196" s="370"/>
      <c r="I196" s="370"/>
      <c r="J196" s="370"/>
      <c r="K196" s="370"/>
      <c r="L196" s="370"/>
      <c r="M196" s="370"/>
      <c r="N196" s="370"/>
      <c r="O196" s="370"/>
      <c r="P196" s="370"/>
    </row>
    <row r="197" spans="1:16" s="342" customFormat="1">
      <c r="A197" s="370"/>
      <c r="B197" s="370"/>
      <c r="C197" s="370"/>
      <c r="D197" s="370"/>
      <c r="E197" s="370"/>
      <c r="F197" s="370"/>
      <c r="G197" s="370"/>
      <c r="H197" s="370"/>
      <c r="I197" s="370"/>
      <c r="J197" s="370"/>
      <c r="K197" s="370"/>
      <c r="L197" s="370"/>
      <c r="M197" s="370"/>
      <c r="N197" s="370"/>
      <c r="O197" s="370"/>
      <c r="P197" s="370"/>
    </row>
    <row r="198" spans="1:16" s="342" customFormat="1">
      <c r="A198" s="370"/>
      <c r="B198" s="370"/>
      <c r="C198" s="370"/>
      <c r="D198" s="370"/>
      <c r="E198" s="370"/>
      <c r="F198" s="370"/>
      <c r="G198" s="370"/>
      <c r="H198" s="370"/>
      <c r="I198" s="370"/>
      <c r="J198" s="370"/>
      <c r="K198" s="370"/>
      <c r="L198" s="370"/>
      <c r="M198" s="370"/>
      <c r="N198" s="370"/>
      <c r="O198" s="370"/>
      <c r="P198" s="370"/>
    </row>
    <row r="199" spans="1:16" s="342" customFormat="1">
      <c r="A199" s="370"/>
      <c r="B199" s="370"/>
      <c r="C199" s="370"/>
      <c r="D199" s="370"/>
      <c r="E199" s="370"/>
      <c r="F199" s="370"/>
      <c r="G199" s="370"/>
      <c r="H199" s="370"/>
      <c r="I199" s="370"/>
      <c r="J199" s="370"/>
      <c r="K199" s="370"/>
      <c r="L199" s="370"/>
      <c r="M199" s="370"/>
      <c r="N199" s="370"/>
      <c r="O199" s="370"/>
      <c r="P199" s="370"/>
    </row>
    <row r="200" spans="1:16" s="342" customFormat="1">
      <c r="A200" s="370"/>
      <c r="B200" s="370"/>
      <c r="C200" s="370"/>
      <c r="D200" s="370"/>
      <c r="E200" s="370"/>
      <c r="F200" s="370"/>
      <c r="G200" s="370"/>
      <c r="H200" s="370"/>
      <c r="I200" s="370"/>
      <c r="J200" s="370"/>
      <c r="K200" s="370"/>
      <c r="L200" s="370"/>
      <c r="M200" s="370"/>
      <c r="N200" s="370"/>
      <c r="O200" s="370"/>
      <c r="P200" s="370"/>
    </row>
    <row r="201" spans="1:16" s="342" customFormat="1">
      <c r="A201" s="370"/>
      <c r="B201" s="370"/>
      <c r="C201" s="370"/>
      <c r="D201" s="370"/>
      <c r="E201" s="370"/>
      <c r="F201" s="370"/>
      <c r="G201" s="370"/>
      <c r="H201" s="370"/>
      <c r="I201" s="370"/>
      <c r="J201" s="370"/>
      <c r="K201" s="370"/>
      <c r="L201" s="370"/>
      <c r="M201" s="370"/>
      <c r="N201" s="370"/>
      <c r="O201" s="370"/>
      <c r="P201" s="370"/>
    </row>
    <row r="202" spans="1:16" s="342" customFormat="1">
      <c r="A202" s="370"/>
      <c r="B202" s="370"/>
      <c r="C202" s="370"/>
      <c r="D202" s="370"/>
      <c r="E202" s="370"/>
      <c r="F202" s="370"/>
      <c r="G202" s="370"/>
      <c r="H202" s="370"/>
      <c r="I202" s="370"/>
      <c r="J202" s="370"/>
      <c r="K202" s="370"/>
      <c r="L202" s="370"/>
      <c r="M202" s="370"/>
      <c r="N202" s="370"/>
      <c r="O202" s="370"/>
      <c r="P202" s="370"/>
    </row>
    <row r="203" spans="1:16" s="342" customFormat="1">
      <c r="A203" s="370"/>
      <c r="B203" s="370"/>
      <c r="C203" s="370"/>
      <c r="D203" s="370"/>
      <c r="E203" s="370"/>
      <c r="F203" s="370"/>
      <c r="G203" s="370"/>
      <c r="H203" s="370"/>
      <c r="I203" s="370"/>
      <c r="J203" s="370"/>
      <c r="K203" s="370"/>
      <c r="L203" s="370"/>
      <c r="M203" s="370"/>
      <c r="N203" s="370"/>
      <c r="O203" s="370"/>
      <c r="P203" s="370"/>
    </row>
    <row r="204" spans="1:16" s="342" customFormat="1">
      <c r="A204" s="370"/>
      <c r="B204" s="370"/>
      <c r="C204" s="370"/>
      <c r="D204" s="370"/>
      <c r="E204" s="370"/>
      <c r="F204" s="370"/>
      <c r="G204" s="370"/>
      <c r="H204" s="370"/>
      <c r="I204" s="370"/>
      <c r="J204" s="370"/>
      <c r="K204" s="370"/>
      <c r="L204" s="370"/>
      <c r="M204" s="370"/>
      <c r="N204" s="370"/>
      <c r="O204" s="370"/>
      <c r="P204" s="370"/>
    </row>
    <row r="205" spans="1:16" s="342" customFormat="1">
      <c r="A205" s="370"/>
      <c r="B205" s="370"/>
      <c r="C205" s="370"/>
      <c r="D205" s="370"/>
      <c r="E205" s="370"/>
      <c r="F205" s="370"/>
      <c r="G205" s="370"/>
      <c r="H205" s="370"/>
      <c r="I205" s="370"/>
      <c r="J205" s="370"/>
      <c r="K205" s="370"/>
      <c r="L205" s="370"/>
      <c r="M205" s="370"/>
      <c r="N205" s="370"/>
      <c r="O205" s="370"/>
      <c r="P205" s="370"/>
    </row>
    <row r="206" spans="1:16" s="342" customFormat="1">
      <c r="A206" s="370"/>
      <c r="B206" s="370"/>
      <c r="C206" s="370"/>
      <c r="D206" s="370"/>
      <c r="E206" s="370"/>
      <c r="F206" s="370"/>
      <c r="G206" s="370"/>
      <c r="H206" s="370"/>
      <c r="I206" s="370"/>
      <c r="J206" s="370"/>
      <c r="K206" s="370"/>
      <c r="L206" s="370"/>
      <c r="M206" s="370"/>
      <c r="N206" s="370"/>
      <c r="O206" s="370"/>
      <c r="P206" s="370"/>
    </row>
    <row r="207" spans="1:16" s="342" customFormat="1">
      <c r="A207" s="370"/>
      <c r="B207" s="370"/>
      <c r="C207" s="370"/>
      <c r="D207" s="370"/>
      <c r="E207" s="370"/>
      <c r="F207" s="370"/>
      <c r="G207" s="370"/>
      <c r="H207" s="370"/>
      <c r="I207" s="370"/>
      <c r="J207" s="370"/>
      <c r="K207" s="370"/>
      <c r="L207" s="370"/>
      <c r="M207" s="370"/>
      <c r="N207" s="370"/>
      <c r="O207" s="370"/>
      <c r="P207" s="370"/>
    </row>
    <row r="208" spans="1:16" s="342" customFormat="1">
      <c r="A208" s="370"/>
      <c r="B208" s="370"/>
      <c r="C208" s="370"/>
      <c r="D208" s="370"/>
      <c r="E208" s="370"/>
      <c r="F208" s="370"/>
      <c r="G208" s="370"/>
      <c r="H208" s="370"/>
      <c r="I208" s="370"/>
      <c r="J208" s="370"/>
      <c r="K208" s="370"/>
      <c r="L208" s="370"/>
      <c r="M208" s="370"/>
      <c r="N208" s="370"/>
      <c r="O208" s="370"/>
      <c r="P208" s="370"/>
    </row>
    <row r="209" spans="1:16" s="342" customFormat="1">
      <c r="A209" s="370"/>
      <c r="B209" s="370"/>
      <c r="C209" s="370"/>
      <c r="D209" s="370"/>
      <c r="E209" s="370"/>
      <c r="F209" s="370"/>
      <c r="G209" s="370"/>
      <c r="H209" s="370"/>
      <c r="I209" s="370"/>
      <c r="J209" s="370"/>
      <c r="K209" s="370"/>
      <c r="L209" s="370"/>
      <c r="M209" s="370"/>
      <c r="N209" s="370"/>
      <c r="O209" s="370"/>
      <c r="P209" s="370"/>
    </row>
    <row r="210" spans="1:16" s="342" customFormat="1">
      <c r="A210" s="370"/>
      <c r="B210" s="370"/>
      <c r="C210" s="370"/>
      <c r="D210" s="370"/>
      <c r="E210" s="370"/>
      <c r="F210" s="370"/>
      <c r="G210" s="370"/>
      <c r="H210" s="370"/>
      <c r="I210" s="370"/>
      <c r="J210" s="370"/>
      <c r="K210" s="370"/>
      <c r="L210" s="370"/>
      <c r="M210" s="370"/>
      <c r="N210" s="370"/>
      <c r="O210" s="370"/>
      <c r="P210" s="370"/>
    </row>
    <row r="211" spans="1:16" s="342" customFormat="1">
      <c r="A211" s="370"/>
      <c r="B211" s="370"/>
      <c r="C211" s="370"/>
      <c r="D211" s="370"/>
      <c r="E211" s="370"/>
      <c r="F211" s="370"/>
      <c r="G211" s="370"/>
      <c r="H211" s="370"/>
      <c r="I211" s="370"/>
      <c r="J211" s="370"/>
      <c r="K211" s="370"/>
      <c r="L211" s="370"/>
      <c r="M211" s="370"/>
      <c r="N211" s="370"/>
      <c r="O211" s="370"/>
      <c r="P211" s="370"/>
    </row>
    <row r="212" spans="1:16" s="342" customFormat="1">
      <c r="A212" s="370"/>
      <c r="B212" s="370"/>
      <c r="C212" s="370"/>
      <c r="D212" s="370"/>
      <c r="E212" s="370"/>
      <c r="F212" s="370"/>
      <c r="G212" s="370"/>
      <c r="H212" s="370"/>
      <c r="I212" s="370"/>
      <c r="J212" s="370"/>
      <c r="K212" s="370"/>
      <c r="L212" s="370"/>
      <c r="M212" s="370"/>
      <c r="N212" s="370"/>
      <c r="O212" s="370"/>
      <c r="P212" s="370"/>
    </row>
    <row r="213" spans="1:16" s="342" customFormat="1">
      <c r="A213" s="370"/>
      <c r="B213" s="370"/>
      <c r="C213" s="370"/>
      <c r="D213" s="370"/>
      <c r="E213" s="370"/>
      <c r="F213" s="370"/>
      <c r="G213" s="370"/>
      <c r="H213" s="370"/>
      <c r="I213" s="370"/>
      <c r="J213" s="370"/>
      <c r="K213" s="370"/>
      <c r="L213" s="370"/>
      <c r="M213" s="370"/>
      <c r="N213" s="370"/>
      <c r="O213" s="370"/>
      <c r="P213" s="370"/>
    </row>
  </sheetData>
  <sheetProtection formatCells="0" formatColumns="0" formatRows="0" insertColumns="0" insertRows="0" insertHyperlinks="0" deleteColumns="0" deleteRows="0" sort="0" autoFilter="0" pivotTables="0"/>
  <mergeCells count="5">
    <mergeCell ref="B1:H1"/>
    <mergeCell ref="I1:K1"/>
    <mergeCell ref="L1:P1"/>
    <mergeCell ref="R1:R2"/>
    <mergeCell ref="S1:S2"/>
  </mergeCells>
  <hyperlinks>
    <hyperlink ref="R1" location="ГЛАВНАЯ!A1" display="На главную" xr:uid="{E892C3AE-A0EF-455E-A1E0-3D164F90B931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2"/>
  <dimension ref="A1:I128"/>
  <sheetViews>
    <sheetView workbookViewId="0">
      <selection sqref="A1:A2"/>
    </sheetView>
  </sheetViews>
  <sheetFormatPr defaultColWidth="9.125" defaultRowHeight="14.3"/>
  <cols>
    <col min="1" max="1" width="19" style="200" customWidth="1"/>
    <col min="2" max="2" width="11" style="200" bestFit="1" customWidth="1"/>
    <col min="3" max="3" width="9.75" style="200" bestFit="1" customWidth="1"/>
    <col min="4" max="4" width="11.875" style="200" customWidth="1"/>
    <col min="5" max="5" width="8.75" style="200" customWidth="1"/>
    <col min="6" max="6" width="7.375" style="200" bestFit="1" customWidth="1"/>
    <col min="7" max="7" width="8" style="200" bestFit="1" customWidth="1"/>
    <col min="8" max="16384" width="9.125" style="200"/>
  </cols>
  <sheetData>
    <row r="1" spans="1:9" ht="22.6" customHeight="1">
      <c r="A1" s="990" t="s">
        <v>2</v>
      </c>
      <c r="B1" s="992" t="s">
        <v>763</v>
      </c>
      <c r="C1" s="994" t="s">
        <v>764</v>
      </c>
      <c r="D1" s="994" t="s">
        <v>765</v>
      </c>
      <c r="E1" s="996" t="s">
        <v>766</v>
      </c>
      <c r="F1" s="986" t="s">
        <v>1186</v>
      </c>
      <c r="G1" s="988" t="s">
        <v>1185</v>
      </c>
      <c r="H1" s="985" t="s">
        <v>2052</v>
      </c>
      <c r="I1" s="985"/>
    </row>
    <row r="2" spans="1:9" ht="14.95" customHeight="1">
      <c r="A2" s="991"/>
      <c r="B2" s="993"/>
      <c r="C2" s="995"/>
      <c r="D2" s="995"/>
      <c r="E2" s="997"/>
      <c r="F2" s="987"/>
      <c r="G2" s="989"/>
      <c r="H2" s="985"/>
      <c r="I2" s="985"/>
    </row>
    <row r="3" spans="1:9" ht="19.05">
      <c r="A3" s="198" t="s">
        <v>767</v>
      </c>
      <c r="B3" s="203"/>
      <c r="C3" s="203"/>
      <c r="D3" s="203"/>
      <c r="E3" s="203"/>
      <c r="F3" s="203"/>
      <c r="G3" s="204"/>
    </row>
    <row r="4" spans="1:9">
      <c r="A4" s="205" t="s">
        <v>768</v>
      </c>
      <c r="B4" s="206">
        <v>41.3</v>
      </c>
      <c r="C4" s="206">
        <v>20.6</v>
      </c>
      <c r="D4" s="206">
        <v>1.5</v>
      </c>
      <c r="E4" s="207" t="s">
        <v>769</v>
      </c>
      <c r="F4" s="190">
        <f>'Strut (2)'!F4*1.8*(1-$H$2/100)</f>
        <v>206.85599999999999</v>
      </c>
      <c r="G4" s="192">
        <f>'Strut (2)'!G4*1.8*(1-$H$2/100)</f>
        <v>348.62400000000002</v>
      </c>
    </row>
    <row r="5" spans="1:9">
      <c r="A5" s="208" t="s">
        <v>771</v>
      </c>
      <c r="B5" s="209">
        <v>41.3</v>
      </c>
      <c r="C5" s="209">
        <v>20.6</v>
      </c>
      <c r="D5" s="210">
        <v>2</v>
      </c>
      <c r="E5" s="211" t="s">
        <v>769</v>
      </c>
      <c r="F5" s="190">
        <f>'Strut (2)'!F5*1.8*(1-$H$2/100)</f>
        <v>245.01600000000002</v>
      </c>
      <c r="G5" s="192">
        <f>'Strut (2)'!G5*1.8*(1-$H$2/100)</f>
        <v>414.19800000000004</v>
      </c>
    </row>
    <row r="6" spans="1:9">
      <c r="A6" s="205" t="s">
        <v>772</v>
      </c>
      <c r="B6" s="206">
        <v>41.3</v>
      </c>
      <c r="C6" s="206">
        <v>20.6</v>
      </c>
      <c r="D6" s="206">
        <v>2.5</v>
      </c>
      <c r="E6" s="207" t="s">
        <v>769</v>
      </c>
      <c r="F6" s="190">
        <f>'Strut (2)'!F6*1.8*(1-$H$2/100)</f>
        <v>333.28800000000001</v>
      </c>
      <c r="G6" s="192">
        <f>'Strut (2)'!G6*1.8*(1-$H$2/100)</f>
        <v>543.87</v>
      </c>
    </row>
    <row r="7" spans="1:9">
      <c r="A7" s="205" t="s">
        <v>773</v>
      </c>
      <c r="B7" s="206">
        <v>41.3</v>
      </c>
      <c r="C7" s="206">
        <v>41.3</v>
      </c>
      <c r="D7" s="206">
        <v>1.5</v>
      </c>
      <c r="E7" s="207" t="s">
        <v>769</v>
      </c>
      <c r="F7" s="190">
        <f>'Strut (2)'!F7*1.8*(1-$H$2/100)</f>
        <v>293.72400000000005</v>
      </c>
      <c r="G7" s="192">
        <f>'Strut (2)'!G7*1.8*(1-$H$2/100)</f>
        <v>496.82159999999999</v>
      </c>
    </row>
    <row r="8" spans="1:9">
      <c r="A8" s="208" t="s">
        <v>774</v>
      </c>
      <c r="B8" s="209">
        <v>41.3</v>
      </c>
      <c r="C8" s="209">
        <v>41.3</v>
      </c>
      <c r="D8" s="210">
        <v>2</v>
      </c>
      <c r="E8" s="211" t="s">
        <v>769</v>
      </c>
      <c r="F8" s="190">
        <f>'Strut (2)'!F8*1.8*(1-$H$2/100)</f>
        <v>359.47800000000001</v>
      </c>
      <c r="G8" s="192">
        <f>'Strut (2)'!G8*1.8*(1-$H$2/100)</f>
        <v>610.00199999999995</v>
      </c>
    </row>
    <row r="9" spans="1:9">
      <c r="A9" s="205" t="s">
        <v>775</v>
      </c>
      <c r="B9" s="206">
        <v>41.3</v>
      </c>
      <c r="C9" s="206">
        <v>41.3</v>
      </c>
      <c r="D9" s="206">
        <v>2.5</v>
      </c>
      <c r="E9" s="207" t="s">
        <v>769</v>
      </c>
      <c r="F9" s="190">
        <f>'Strut (2)'!F9*1.8*(1-$H$2/100)</f>
        <v>490.30199999999996</v>
      </c>
      <c r="G9" s="192">
        <f>'Strut (2)'!G9*1.8*(1-$H$2/100)</f>
        <v>802.17</v>
      </c>
    </row>
    <row r="10" spans="1:9">
      <c r="A10" s="205" t="s">
        <v>776</v>
      </c>
      <c r="B10" s="206">
        <v>41.3</v>
      </c>
      <c r="C10" s="206">
        <v>20.6</v>
      </c>
      <c r="D10" s="206">
        <v>1.5</v>
      </c>
      <c r="E10" s="207" t="s">
        <v>769</v>
      </c>
      <c r="F10" s="190">
        <f>'Strut (2)'!F10*1.8*(1-$H$2/100)</f>
        <v>198.18</v>
      </c>
      <c r="G10" s="192">
        <f>'Strut (2)'!G10*1.8*(1-$H$2/100)</f>
        <v>349.63200000000001</v>
      </c>
    </row>
    <row r="11" spans="1:9">
      <c r="A11" s="208" t="s">
        <v>777</v>
      </c>
      <c r="B11" s="209">
        <v>41.3</v>
      </c>
      <c r="C11" s="209">
        <v>20.6</v>
      </c>
      <c r="D11" s="210">
        <v>2</v>
      </c>
      <c r="E11" s="211" t="s">
        <v>769</v>
      </c>
      <c r="F11" s="190">
        <f>'Strut (2)'!F11*1.8*(1-$H$2/100)</f>
        <v>236.73600000000002</v>
      </c>
      <c r="G11" s="192">
        <f>'Strut (2)'!G11*1.8*(1-$H$2/100)</f>
        <v>418.64400000000001</v>
      </c>
    </row>
    <row r="12" spans="1:9">
      <c r="A12" s="205" t="s">
        <v>778</v>
      </c>
      <c r="B12" s="206">
        <v>41.3</v>
      </c>
      <c r="C12" s="206">
        <v>20.6</v>
      </c>
      <c r="D12" s="206">
        <v>2.5</v>
      </c>
      <c r="E12" s="207" t="s">
        <v>769</v>
      </c>
      <c r="F12" s="190">
        <f>'Strut (2)'!F12*1.8*(1-$H$2/100)</f>
        <v>326.68200000000002</v>
      </c>
      <c r="G12" s="192">
        <f>'Strut (2)'!G12*1.8*(1-$H$2/100)</f>
        <v>555.76800000000003</v>
      </c>
    </row>
    <row r="13" spans="1:9">
      <c r="A13" s="205" t="s">
        <v>779</v>
      </c>
      <c r="B13" s="206">
        <v>41.3</v>
      </c>
      <c r="C13" s="206">
        <v>41.3</v>
      </c>
      <c r="D13" s="206">
        <v>1.5</v>
      </c>
      <c r="E13" s="207" t="s">
        <v>769</v>
      </c>
      <c r="F13" s="190">
        <f>'Strut (2)'!F13*1.8*(1-$H$2/100)</f>
        <v>265.69800000000004</v>
      </c>
      <c r="G13" s="192">
        <f>'Strut (2)'!G13*1.8*(1-$H$2/100)</f>
        <v>469.76400000000007</v>
      </c>
    </row>
    <row r="14" spans="1:9">
      <c r="A14" s="208" t="s">
        <v>780</v>
      </c>
      <c r="B14" s="209">
        <v>41.3</v>
      </c>
      <c r="C14" s="209">
        <v>41.3</v>
      </c>
      <c r="D14" s="210">
        <v>2</v>
      </c>
      <c r="E14" s="211" t="s">
        <v>769</v>
      </c>
      <c r="F14" s="190">
        <f>'Strut (2)'!F14*1.8*(1-$H$2/100)</f>
        <v>325.8</v>
      </c>
      <c r="G14" s="192">
        <f>'Strut (2)'!G14*1.8*(1-$H$2/100)</f>
        <v>577.26</v>
      </c>
    </row>
    <row r="15" spans="1:9">
      <c r="A15" s="205" t="s">
        <v>781</v>
      </c>
      <c r="B15" s="206">
        <v>41.3</v>
      </c>
      <c r="C15" s="206">
        <v>41.3</v>
      </c>
      <c r="D15" s="206">
        <v>2.5</v>
      </c>
      <c r="E15" s="207" t="s">
        <v>769</v>
      </c>
      <c r="F15" s="190">
        <f>'Strut (2)'!F15*1.8*(1-$H$2/100)</f>
        <v>468.71999999999997</v>
      </c>
      <c r="G15" s="192">
        <f>'Strut (2)'!G15*1.8*(1-$H$2/100)</f>
        <v>798.56999999999994</v>
      </c>
    </row>
    <row r="16" spans="1:9" ht="14.95" customHeight="1">
      <c r="A16" s="212" t="s">
        <v>782</v>
      </c>
      <c r="B16" s="203"/>
      <c r="C16" s="203"/>
      <c r="D16" s="203"/>
      <c r="E16" s="203"/>
      <c r="F16" s="213"/>
      <c r="G16" s="213"/>
    </row>
    <row r="17" spans="1:7" ht="14.95" customHeight="1">
      <c r="A17" s="205" t="s">
        <v>783</v>
      </c>
      <c r="B17" s="206">
        <v>41.3</v>
      </c>
      <c r="C17" s="206">
        <v>82.6</v>
      </c>
      <c r="D17" s="206">
        <v>2.5</v>
      </c>
      <c r="E17" s="207" t="s">
        <v>769</v>
      </c>
      <c r="F17" s="191" t="s">
        <v>770</v>
      </c>
      <c r="G17" s="192">
        <f>'Strut (2)'!G17*1.8*(1-$H$2/100)</f>
        <v>1636.92</v>
      </c>
    </row>
    <row r="18" spans="1:7">
      <c r="A18" s="205" t="s">
        <v>784</v>
      </c>
      <c r="B18" s="206">
        <v>41.3</v>
      </c>
      <c r="C18" s="206">
        <v>41.2</v>
      </c>
      <c r="D18" s="206">
        <v>2.5</v>
      </c>
      <c r="E18" s="207" t="s">
        <v>769</v>
      </c>
      <c r="F18" s="191" t="s">
        <v>770</v>
      </c>
      <c r="G18" s="192">
        <f>'Strut (2)'!G18*1.8*(1-$H$2/100)</f>
        <v>1148.4000000000001</v>
      </c>
    </row>
    <row r="19" spans="1:7">
      <c r="A19" s="214" t="s">
        <v>785</v>
      </c>
      <c r="B19" s="206">
        <v>41.3</v>
      </c>
      <c r="C19" s="206">
        <v>82.6</v>
      </c>
      <c r="D19" s="206">
        <v>2.5</v>
      </c>
      <c r="E19" s="207" t="s">
        <v>769</v>
      </c>
      <c r="F19" s="191" t="s">
        <v>770</v>
      </c>
      <c r="G19" s="192">
        <f>'Strut (2)'!G19*1.8*(1-$H$2/100)</f>
        <v>1687.932</v>
      </c>
    </row>
    <row r="20" spans="1:7">
      <c r="A20" s="214" t="s">
        <v>786</v>
      </c>
      <c r="B20" s="206">
        <v>41.3</v>
      </c>
      <c r="C20" s="206">
        <v>41.2</v>
      </c>
      <c r="D20" s="206">
        <v>2.5</v>
      </c>
      <c r="E20" s="207" t="s">
        <v>769</v>
      </c>
      <c r="F20" s="191" t="s">
        <v>770</v>
      </c>
      <c r="G20" s="192">
        <f>'Strut (2)'!G20*1.8*(1-$H$2/100)</f>
        <v>1148.1659999999999</v>
      </c>
    </row>
    <row r="21" spans="1:7" ht="14.95" customHeight="1"/>
    <row r="35" ht="14.95" customHeight="1"/>
    <row r="36" ht="14.95" customHeight="1"/>
    <row r="51" spans="8:8" ht="14.95" customHeight="1"/>
    <row r="52" spans="8:8" ht="14.95" customHeight="1">
      <c r="H52" s="199"/>
    </row>
    <row r="60" spans="8:8" ht="14.95" customHeight="1"/>
    <row r="66" ht="14.95" customHeight="1"/>
    <row r="67" ht="14.95" customHeight="1"/>
    <row r="73" ht="14.95" customHeight="1"/>
    <row r="82" ht="14.95" customHeight="1"/>
    <row r="83" ht="14.95" customHeight="1"/>
    <row r="84" ht="14.95" customHeight="1"/>
    <row r="88" ht="14.95" customHeight="1"/>
    <row r="89" ht="14.95" customHeight="1"/>
    <row r="100" ht="14.95" customHeight="1"/>
    <row r="109" ht="14.95" customHeight="1"/>
    <row r="118" ht="14.95" customHeight="1"/>
    <row r="123" ht="14.95" customHeight="1"/>
    <row r="128" ht="14.95" customHeight="1"/>
  </sheetData>
  <mergeCells count="9">
    <mergeCell ref="H1:I1"/>
    <mergeCell ref="H2:I2"/>
    <mergeCell ref="F1:F2"/>
    <mergeCell ref="G1:G2"/>
    <mergeCell ref="A1:A2"/>
    <mergeCell ref="B1:B2"/>
    <mergeCell ref="C1:C2"/>
    <mergeCell ref="D1:D2"/>
    <mergeCell ref="E1:E2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3"/>
  <dimension ref="A1:H128"/>
  <sheetViews>
    <sheetView workbookViewId="0">
      <selection activeCell="K21" sqref="K21"/>
    </sheetView>
  </sheetViews>
  <sheetFormatPr defaultRowHeight="14.3"/>
  <cols>
    <col min="1" max="1" width="19" customWidth="1"/>
    <col min="2" max="2" width="11" bestFit="1" customWidth="1"/>
    <col min="3" max="3" width="9.75" bestFit="1" customWidth="1"/>
    <col min="4" max="4" width="11.875" customWidth="1"/>
    <col min="5" max="5" width="8.75" customWidth="1"/>
    <col min="6" max="6" width="7.375" bestFit="1" customWidth="1"/>
    <col min="7" max="7" width="8" bestFit="1" customWidth="1"/>
  </cols>
  <sheetData>
    <row r="1" spans="1:7" ht="22.6" customHeight="1">
      <c r="A1" s="998" t="s">
        <v>2</v>
      </c>
      <c r="B1" s="1000" t="s">
        <v>763</v>
      </c>
      <c r="C1" s="1002" t="s">
        <v>764</v>
      </c>
      <c r="D1" s="1002" t="s">
        <v>765</v>
      </c>
      <c r="E1" s="1004" t="s">
        <v>766</v>
      </c>
      <c r="F1" s="986" t="s">
        <v>1186</v>
      </c>
      <c r="G1" s="988" t="s">
        <v>1185</v>
      </c>
    </row>
    <row r="2" spans="1:7" ht="14.95" customHeight="1">
      <c r="A2" s="999"/>
      <c r="B2" s="1001"/>
      <c r="C2" s="1003"/>
      <c r="D2" s="1003"/>
      <c r="E2" s="1005"/>
      <c r="F2" s="987"/>
      <c r="G2" s="989"/>
    </row>
    <row r="3" spans="1:7" ht="19.05">
      <c r="A3" s="11" t="s">
        <v>767</v>
      </c>
      <c r="B3" s="49"/>
      <c r="C3" s="49"/>
      <c r="D3" s="49"/>
      <c r="E3" s="49"/>
      <c r="F3" s="49"/>
      <c r="G3" s="48"/>
    </row>
    <row r="4" spans="1:7">
      <c r="A4" s="50" t="s">
        <v>768</v>
      </c>
      <c r="B4" s="51">
        <v>41.3</v>
      </c>
      <c r="C4" s="51">
        <v>20.6</v>
      </c>
      <c r="D4" s="51">
        <v>1.5</v>
      </c>
      <c r="E4" s="52" t="s">
        <v>769</v>
      </c>
      <c r="F4" s="156">
        <f>114.92*'Цены на металл '!B13</f>
        <v>114.92</v>
      </c>
      <c r="G4" s="157">
        <f>193.68*'Цены на металл '!C13</f>
        <v>193.68</v>
      </c>
    </row>
    <row r="5" spans="1:7">
      <c r="A5" s="158" t="s">
        <v>771</v>
      </c>
      <c r="B5" s="159">
        <v>41.3</v>
      </c>
      <c r="C5" s="159">
        <v>20.6</v>
      </c>
      <c r="D5" s="160">
        <v>2</v>
      </c>
      <c r="E5" s="161" t="s">
        <v>769</v>
      </c>
      <c r="F5" s="156">
        <f>136.12*'Цены на металл '!B13</f>
        <v>136.12</v>
      </c>
      <c r="G5" s="157">
        <f>230.11*'Цены на металл '!C13</f>
        <v>230.11</v>
      </c>
    </row>
    <row r="6" spans="1:7">
      <c r="A6" s="50" t="s">
        <v>772</v>
      </c>
      <c r="B6" s="51">
        <v>41.3</v>
      </c>
      <c r="C6" s="51">
        <v>20.6</v>
      </c>
      <c r="D6" s="51">
        <v>2.5</v>
      </c>
      <c r="E6" s="52" t="s">
        <v>769</v>
      </c>
      <c r="F6" s="156">
        <f>185.16*'Цены на металл '!B13</f>
        <v>185.16</v>
      </c>
      <c r="G6" s="157">
        <f>302.15*'Цены на металл '!C13</f>
        <v>302.14999999999998</v>
      </c>
    </row>
    <row r="7" spans="1:7">
      <c r="A7" s="50" t="s">
        <v>773</v>
      </c>
      <c r="B7" s="51">
        <v>41.3</v>
      </c>
      <c r="C7" s="51">
        <v>41.3</v>
      </c>
      <c r="D7" s="51">
        <v>1.5</v>
      </c>
      <c r="E7" s="52" t="s">
        <v>769</v>
      </c>
      <c r="F7" s="156">
        <f>163.18*'Цены на металл '!B13</f>
        <v>163.18</v>
      </c>
      <c r="G7" s="157">
        <f>276.012*'Цены на металл '!C13</f>
        <v>276.012</v>
      </c>
    </row>
    <row r="8" spans="1:7">
      <c r="A8" s="158" t="s">
        <v>774</v>
      </c>
      <c r="B8" s="159">
        <v>41.3</v>
      </c>
      <c r="C8" s="159">
        <v>41.3</v>
      </c>
      <c r="D8" s="160">
        <v>2</v>
      </c>
      <c r="E8" s="161" t="s">
        <v>769</v>
      </c>
      <c r="F8" s="156">
        <f>199.71*'Цены на металл '!B13</f>
        <v>199.71</v>
      </c>
      <c r="G8" s="157">
        <f>338.89*'Цены на металл '!C13</f>
        <v>338.89</v>
      </c>
    </row>
    <row r="9" spans="1:7">
      <c r="A9" s="50" t="s">
        <v>775</v>
      </c>
      <c r="B9" s="51">
        <v>41.3</v>
      </c>
      <c r="C9" s="51">
        <v>41.3</v>
      </c>
      <c r="D9" s="51">
        <v>2.5</v>
      </c>
      <c r="E9" s="52" t="s">
        <v>769</v>
      </c>
      <c r="F9" s="156">
        <f>272.39*'Цены на металл '!B13</f>
        <v>272.39</v>
      </c>
      <c r="G9" s="157">
        <f>445.65*'Цены на металл '!C13</f>
        <v>445.65</v>
      </c>
    </row>
    <row r="10" spans="1:7">
      <c r="A10" s="50" t="s">
        <v>776</v>
      </c>
      <c r="B10" s="51">
        <v>41.3</v>
      </c>
      <c r="C10" s="51">
        <v>20.6</v>
      </c>
      <c r="D10" s="51">
        <v>1.5</v>
      </c>
      <c r="E10" s="52" t="s">
        <v>769</v>
      </c>
      <c r="F10" s="156">
        <f>110.1*'Цены на металл '!B13</f>
        <v>110.1</v>
      </c>
      <c r="G10" s="157">
        <f>194.24*'Цены на металл '!C13</f>
        <v>194.24</v>
      </c>
    </row>
    <row r="11" spans="1:7">
      <c r="A11" s="158" t="s">
        <v>777</v>
      </c>
      <c r="B11" s="159">
        <v>41.3</v>
      </c>
      <c r="C11" s="159">
        <v>20.6</v>
      </c>
      <c r="D11" s="160">
        <v>2</v>
      </c>
      <c r="E11" s="161" t="s">
        <v>769</v>
      </c>
      <c r="F11" s="156">
        <f>131.52*'Цены на металл '!B13</f>
        <v>131.52000000000001</v>
      </c>
      <c r="G11" s="157">
        <f>232.58*'Цены на металл '!C13</f>
        <v>232.58</v>
      </c>
    </row>
    <row r="12" spans="1:7">
      <c r="A12" s="50" t="s">
        <v>778</v>
      </c>
      <c r="B12" s="51">
        <v>41.3</v>
      </c>
      <c r="C12" s="51">
        <v>20.6</v>
      </c>
      <c r="D12" s="51">
        <v>2.5</v>
      </c>
      <c r="E12" s="52" t="s">
        <v>769</v>
      </c>
      <c r="F12" s="156">
        <f>181.49*'Цены на металл '!B13</f>
        <v>181.49</v>
      </c>
      <c r="G12" s="157">
        <f>308.76*'Цены на металл '!C13</f>
        <v>308.76</v>
      </c>
    </row>
    <row r="13" spans="1:7">
      <c r="A13" s="50" t="s">
        <v>779</v>
      </c>
      <c r="B13" s="51">
        <v>41.3</v>
      </c>
      <c r="C13" s="51">
        <v>41.3</v>
      </c>
      <c r="D13" s="51">
        <v>1.5</v>
      </c>
      <c r="E13" s="52" t="s">
        <v>769</v>
      </c>
      <c r="F13" s="156">
        <f>147.61*'Цены на металл '!B13</f>
        <v>147.61000000000001</v>
      </c>
      <c r="G13" s="157">
        <f>260.98*'Цены на металл '!C13</f>
        <v>260.98</v>
      </c>
    </row>
    <row r="14" spans="1:7">
      <c r="A14" s="158" t="s">
        <v>780</v>
      </c>
      <c r="B14" s="159">
        <v>41.3</v>
      </c>
      <c r="C14" s="159">
        <v>41.3</v>
      </c>
      <c r="D14" s="160">
        <v>2</v>
      </c>
      <c r="E14" s="161" t="s">
        <v>769</v>
      </c>
      <c r="F14" s="156">
        <f>181*'Цены на металл '!B13</f>
        <v>181</v>
      </c>
      <c r="G14" s="157">
        <f>320.7*'Цены на металл '!C13</f>
        <v>320.7</v>
      </c>
    </row>
    <row r="15" spans="1:7">
      <c r="A15" s="50" t="s">
        <v>781</v>
      </c>
      <c r="B15" s="51">
        <v>41.3</v>
      </c>
      <c r="C15" s="51">
        <v>41.3</v>
      </c>
      <c r="D15" s="51">
        <v>2.5</v>
      </c>
      <c r="E15" s="52" t="s">
        <v>769</v>
      </c>
      <c r="F15" s="156">
        <f>260.4*'Цены на металл '!B13</f>
        <v>260.39999999999998</v>
      </c>
      <c r="G15" s="157">
        <f>443.65*'Цены на металл '!C13</f>
        <v>443.65</v>
      </c>
    </row>
    <row r="16" spans="1:7" ht="14.95" customHeight="1">
      <c r="A16" s="47" t="s">
        <v>782</v>
      </c>
      <c r="B16" s="49"/>
      <c r="C16" s="49"/>
      <c r="D16" s="49"/>
      <c r="E16" s="49"/>
      <c r="F16" s="49"/>
      <c r="G16" s="144"/>
    </row>
    <row r="17" spans="1:7" ht="14.95" customHeight="1">
      <c r="A17" s="50" t="s">
        <v>783</v>
      </c>
      <c r="B17" s="51">
        <v>41.3</v>
      </c>
      <c r="C17" s="51">
        <v>82.6</v>
      </c>
      <c r="D17" s="51">
        <v>2.5</v>
      </c>
      <c r="E17" s="52" t="s">
        <v>769</v>
      </c>
      <c r="F17" s="143" t="s">
        <v>770</v>
      </c>
      <c r="G17" s="145">
        <f>909.4*'Цены на металл '!C13</f>
        <v>909.4</v>
      </c>
    </row>
    <row r="18" spans="1:7">
      <c r="A18" s="50" t="s">
        <v>784</v>
      </c>
      <c r="B18" s="51">
        <v>41.3</v>
      </c>
      <c r="C18" s="51">
        <v>41.2</v>
      </c>
      <c r="D18" s="51">
        <v>2.5</v>
      </c>
      <c r="E18" s="52" t="s">
        <v>769</v>
      </c>
      <c r="F18" s="143" t="s">
        <v>770</v>
      </c>
      <c r="G18" s="145">
        <f>638*'Цены на металл '!C13</f>
        <v>638</v>
      </c>
    </row>
    <row r="19" spans="1:7">
      <c r="A19" s="53" t="s">
        <v>785</v>
      </c>
      <c r="B19" s="51">
        <v>41.3</v>
      </c>
      <c r="C19" s="51">
        <v>82.6</v>
      </c>
      <c r="D19" s="51">
        <v>2.5</v>
      </c>
      <c r="E19" s="52" t="s">
        <v>769</v>
      </c>
      <c r="F19" s="143" t="s">
        <v>770</v>
      </c>
      <c r="G19" s="145">
        <f>937.74*'Цены на металл '!C13</f>
        <v>937.74</v>
      </c>
    </row>
    <row r="20" spans="1:7">
      <c r="A20" s="53" t="s">
        <v>786</v>
      </c>
      <c r="B20" s="51">
        <v>41.3</v>
      </c>
      <c r="C20" s="51">
        <v>41.2</v>
      </c>
      <c r="D20" s="51">
        <v>2.5</v>
      </c>
      <c r="E20" s="52" t="s">
        <v>769</v>
      </c>
      <c r="F20" s="143" t="s">
        <v>770</v>
      </c>
      <c r="G20" s="145">
        <f>637.87*'Цены на металл '!C13</f>
        <v>637.87</v>
      </c>
    </row>
    <row r="21" spans="1:7" ht="14.95" customHeight="1"/>
    <row r="35" ht="14.95" customHeight="1"/>
    <row r="36" ht="14.95" customHeight="1"/>
    <row r="51" spans="8:8" ht="14.95" customHeight="1"/>
    <row r="52" spans="8:8" ht="14.95" customHeight="1">
      <c r="H52" s="6"/>
    </row>
    <row r="60" spans="8:8" ht="14.95" customHeight="1"/>
    <row r="66" ht="14.95" customHeight="1"/>
    <row r="67" ht="14.95" customHeight="1"/>
    <row r="73" ht="14.95" customHeight="1"/>
    <row r="82" ht="14.95" customHeight="1"/>
    <row r="83" ht="14.95" customHeight="1"/>
    <row r="84" ht="14.95" customHeight="1"/>
    <row r="88" ht="14.95" customHeight="1"/>
    <row r="89" ht="14.95" customHeight="1"/>
    <row r="100" ht="14.95" customHeight="1"/>
    <row r="109" ht="14.95" customHeight="1"/>
    <row r="118" ht="14.95" customHeight="1"/>
    <row r="123" ht="14.95" customHeight="1"/>
    <row r="128" ht="14.95" customHeight="1"/>
  </sheetData>
  <mergeCells count="7">
    <mergeCell ref="G1:G2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4"/>
  <dimension ref="A1:H115"/>
  <sheetViews>
    <sheetView workbookViewId="0">
      <selection activeCell="J97" sqref="J97"/>
    </sheetView>
  </sheetViews>
  <sheetFormatPr defaultColWidth="9.125" defaultRowHeight="14.3"/>
  <cols>
    <col min="1" max="1" width="19.375" style="200" bestFit="1" customWidth="1"/>
    <col min="2" max="2" width="8.875" style="200" bestFit="1" customWidth="1"/>
    <col min="3" max="3" width="12.375" style="200" customWidth="1"/>
    <col min="4" max="4" width="9.125" style="200"/>
    <col min="5" max="5" width="5.75" style="200" bestFit="1" customWidth="1"/>
    <col min="6" max="6" width="7" style="200" bestFit="1" customWidth="1"/>
    <col min="7" max="16384" width="9.125" style="200"/>
  </cols>
  <sheetData>
    <row r="1" spans="1:8" ht="14.95" customHeight="1">
      <c r="A1" s="1008" t="s">
        <v>2</v>
      </c>
      <c r="B1" s="1010" t="s">
        <v>894</v>
      </c>
      <c r="C1" s="1012" t="s">
        <v>1195</v>
      </c>
      <c r="D1" s="1014" t="s">
        <v>766</v>
      </c>
      <c r="E1" s="1016" t="s">
        <v>1186</v>
      </c>
      <c r="F1" s="1006" t="s">
        <v>1185</v>
      </c>
      <c r="G1" s="985" t="s">
        <v>2052</v>
      </c>
      <c r="H1" s="985"/>
    </row>
    <row r="2" spans="1:8" ht="23.95" customHeight="1">
      <c r="A2" s="1009"/>
      <c r="B2" s="1011"/>
      <c r="C2" s="1013"/>
      <c r="D2" s="1015"/>
      <c r="E2" s="1017"/>
      <c r="F2" s="1007"/>
      <c r="G2" s="985"/>
      <c r="H2" s="985"/>
    </row>
    <row r="3" spans="1:8" ht="19.05">
      <c r="A3" s="215" t="s">
        <v>895</v>
      </c>
      <c r="B3" s="216"/>
      <c r="C3" s="216"/>
      <c r="D3" s="216"/>
      <c r="E3" s="216"/>
      <c r="F3" s="217"/>
    </row>
    <row r="4" spans="1:8">
      <c r="A4" s="218" t="s">
        <v>896</v>
      </c>
      <c r="B4" s="219">
        <v>200</v>
      </c>
      <c r="C4" s="219" t="s">
        <v>897</v>
      </c>
      <c r="D4" s="220" t="s">
        <v>789</v>
      </c>
      <c r="E4" s="194" t="s">
        <v>770</v>
      </c>
      <c r="F4" s="193">
        <f>'Стойки Strut  (2)'!F4*1.8*(1-$G$2/100)</f>
        <v>633.6</v>
      </c>
    </row>
    <row r="5" spans="1:8">
      <c r="A5" s="218" t="s">
        <v>896</v>
      </c>
      <c r="B5" s="219">
        <v>300</v>
      </c>
      <c r="C5" s="219" t="s">
        <v>897</v>
      </c>
      <c r="D5" s="220" t="s">
        <v>789</v>
      </c>
      <c r="E5" s="194" t="s">
        <v>770</v>
      </c>
      <c r="F5" s="193">
        <f>'Стойки Strut  (2)'!F5*1.8*(1-$G$2/100)</f>
        <v>689.4</v>
      </c>
    </row>
    <row r="6" spans="1:8">
      <c r="A6" s="218" t="s">
        <v>896</v>
      </c>
      <c r="B6" s="219">
        <v>400</v>
      </c>
      <c r="C6" s="219" t="s">
        <v>897</v>
      </c>
      <c r="D6" s="220" t="s">
        <v>789</v>
      </c>
      <c r="E6" s="194" t="s">
        <v>770</v>
      </c>
      <c r="F6" s="193">
        <f>'Стойки Strut  (2)'!F6*1.8*(1-$G$2/100)</f>
        <v>743.4</v>
      </c>
    </row>
    <row r="7" spans="1:8">
      <c r="A7" s="218" t="s">
        <v>896</v>
      </c>
      <c r="B7" s="219">
        <v>500</v>
      </c>
      <c r="C7" s="219" t="s">
        <v>897</v>
      </c>
      <c r="D7" s="220" t="s">
        <v>789</v>
      </c>
      <c r="E7" s="194" t="s">
        <v>770</v>
      </c>
      <c r="F7" s="193">
        <f>'Стойки Strut  (2)'!F7*1.8*(1-$G$2/100)</f>
        <v>799.2</v>
      </c>
    </row>
    <row r="8" spans="1:8">
      <c r="A8" s="218" t="s">
        <v>896</v>
      </c>
      <c r="B8" s="219">
        <v>600</v>
      </c>
      <c r="C8" s="219" t="s">
        <v>897</v>
      </c>
      <c r="D8" s="220" t="s">
        <v>789</v>
      </c>
      <c r="E8" s="194" t="s">
        <v>770</v>
      </c>
      <c r="F8" s="193">
        <f>'Стойки Strut  (2)'!F8*1.8*(1-$G$2/100)</f>
        <v>853.2</v>
      </c>
    </row>
    <row r="9" spans="1:8">
      <c r="A9" s="218" t="s">
        <v>896</v>
      </c>
      <c r="B9" s="219">
        <v>800</v>
      </c>
      <c r="C9" s="219" t="s">
        <v>897</v>
      </c>
      <c r="D9" s="220" t="s">
        <v>789</v>
      </c>
      <c r="E9" s="194" t="s">
        <v>770</v>
      </c>
      <c r="F9" s="193">
        <f>'Стойки Strut  (2)'!F9*1.8*(1-$G$2/100)</f>
        <v>964.80000000000007</v>
      </c>
    </row>
    <row r="10" spans="1:8">
      <c r="A10" s="218" t="s">
        <v>896</v>
      </c>
      <c r="B10" s="219">
        <v>1000</v>
      </c>
      <c r="C10" s="219" t="s">
        <v>897</v>
      </c>
      <c r="D10" s="220" t="s">
        <v>789</v>
      </c>
      <c r="E10" s="194" t="s">
        <v>770</v>
      </c>
      <c r="F10" s="193">
        <f>'Стойки Strut  (2)'!F10*1.8*(1-$G$2/100)</f>
        <v>1074.6000000000001</v>
      </c>
    </row>
    <row r="11" spans="1:8">
      <c r="A11" s="218" t="s">
        <v>896</v>
      </c>
      <c r="B11" s="219">
        <v>1200</v>
      </c>
      <c r="C11" s="219" t="s">
        <v>897</v>
      </c>
      <c r="D11" s="220" t="s">
        <v>789</v>
      </c>
      <c r="E11" s="194" t="s">
        <v>770</v>
      </c>
      <c r="F11" s="193">
        <f>'Стойки Strut  (2)'!F11*1.8*(1-$G$2/100)</f>
        <v>1184.4000000000001</v>
      </c>
    </row>
    <row r="12" spans="1:8">
      <c r="A12" s="218" t="s">
        <v>896</v>
      </c>
      <c r="B12" s="219">
        <v>1500</v>
      </c>
      <c r="C12" s="219" t="s">
        <v>897</v>
      </c>
      <c r="D12" s="220" t="s">
        <v>789</v>
      </c>
      <c r="E12" s="194" t="s">
        <v>770</v>
      </c>
      <c r="F12" s="193">
        <f>'Стойки Strut  (2)'!F12*1.8*(1-$G$2/100)</f>
        <v>1350</v>
      </c>
    </row>
    <row r="13" spans="1:8">
      <c r="A13" s="218" t="s">
        <v>896</v>
      </c>
      <c r="B13" s="219">
        <v>2000</v>
      </c>
      <c r="C13" s="219" t="s">
        <v>897</v>
      </c>
      <c r="D13" s="220" t="s">
        <v>789</v>
      </c>
      <c r="E13" s="194" t="s">
        <v>770</v>
      </c>
      <c r="F13" s="193">
        <f>'Стойки Strut  (2)'!F13*1.8*(1-$G$2/100)</f>
        <v>1625.4</v>
      </c>
    </row>
    <row r="14" spans="1:8" ht="19.05">
      <c r="A14" s="215" t="s">
        <v>898</v>
      </c>
      <c r="B14" s="216"/>
      <c r="C14" s="216"/>
      <c r="D14" s="216"/>
      <c r="E14" s="216"/>
      <c r="F14" s="193"/>
    </row>
    <row r="15" spans="1:8">
      <c r="A15" s="218" t="s">
        <v>899</v>
      </c>
      <c r="B15" s="219">
        <v>200</v>
      </c>
      <c r="C15" s="219" t="s">
        <v>900</v>
      </c>
      <c r="D15" s="220" t="s">
        <v>789</v>
      </c>
      <c r="E15" s="194" t="s">
        <v>770</v>
      </c>
      <c r="F15" s="193">
        <f>'Стойки Strut  (2)'!F15*1.8*(1-$G$2/100)</f>
        <v>743.4</v>
      </c>
    </row>
    <row r="16" spans="1:8">
      <c r="A16" s="218" t="s">
        <v>899</v>
      </c>
      <c r="B16" s="219">
        <v>300</v>
      </c>
      <c r="C16" s="219" t="s">
        <v>900</v>
      </c>
      <c r="D16" s="220" t="s">
        <v>789</v>
      </c>
      <c r="E16" s="194" t="s">
        <v>770</v>
      </c>
      <c r="F16" s="193">
        <f>'Стойки Strut  (2)'!F16*1.8*(1-$G$2/100)</f>
        <v>853.2</v>
      </c>
    </row>
    <row r="17" spans="1:6">
      <c r="A17" s="218" t="s">
        <v>899</v>
      </c>
      <c r="B17" s="219">
        <v>400</v>
      </c>
      <c r="C17" s="219" t="s">
        <v>900</v>
      </c>
      <c r="D17" s="220" t="s">
        <v>789</v>
      </c>
      <c r="E17" s="194" t="s">
        <v>770</v>
      </c>
      <c r="F17" s="193">
        <f>'Стойки Strut  (2)'!F17*1.8*(1-$G$2/100)</f>
        <v>964.80000000000007</v>
      </c>
    </row>
    <row r="18" spans="1:6">
      <c r="A18" s="218" t="s">
        <v>899</v>
      </c>
      <c r="B18" s="219">
        <v>500</v>
      </c>
      <c r="C18" s="219" t="s">
        <v>900</v>
      </c>
      <c r="D18" s="220" t="s">
        <v>789</v>
      </c>
      <c r="E18" s="194" t="s">
        <v>770</v>
      </c>
      <c r="F18" s="193">
        <f>'Стойки Strut  (2)'!F18*1.8*(1-$G$2/100)</f>
        <v>1072.8</v>
      </c>
    </row>
    <row r="19" spans="1:6">
      <c r="A19" s="218" t="s">
        <v>899</v>
      </c>
      <c r="B19" s="219">
        <v>600</v>
      </c>
      <c r="C19" s="219" t="s">
        <v>900</v>
      </c>
      <c r="D19" s="220" t="s">
        <v>789</v>
      </c>
      <c r="E19" s="194" t="s">
        <v>770</v>
      </c>
      <c r="F19" s="193">
        <f>'Стойки Strut  (2)'!F19*1.8*(1-$G$2/100)</f>
        <v>1184.4000000000001</v>
      </c>
    </row>
    <row r="20" spans="1:6">
      <c r="A20" s="218" t="s">
        <v>899</v>
      </c>
      <c r="B20" s="219">
        <v>800</v>
      </c>
      <c r="C20" s="219" t="s">
        <v>900</v>
      </c>
      <c r="D20" s="220" t="s">
        <v>789</v>
      </c>
      <c r="E20" s="194" t="s">
        <v>770</v>
      </c>
      <c r="F20" s="193">
        <f>'Стойки Strut  (2)'!F20*1.8*(1-$G$2/100)</f>
        <v>1404</v>
      </c>
    </row>
    <row r="21" spans="1:6">
      <c r="A21" s="218" t="s">
        <v>899</v>
      </c>
      <c r="B21" s="219">
        <v>1000</v>
      </c>
      <c r="C21" s="219" t="s">
        <v>900</v>
      </c>
      <c r="D21" s="220" t="s">
        <v>789</v>
      </c>
      <c r="E21" s="194" t="s">
        <v>770</v>
      </c>
      <c r="F21" s="193">
        <f>'Стойки Strut  (2)'!F21*1.8*(1-$G$2/100)</f>
        <v>1627.2</v>
      </c>
    </row>
    <row r="22" spans="1:6">
      <c r="A22" s="218" t="s">
        <v>899</v>
      </c>
      <c r="B22" s="219">
        <v>1200</v>
      </c>
      <c r="C22" s="219" t="s">
        <v>900</v>
      </c>
      <c r="D22" s="220" t="s">
        <v>789</v>
      </c>
      <c r="E22" s="194" t="s">
        <v>770</v>
      </c>
      <c r="F22" s="193">
        <f>'Стойки Strut  (2)'!F22*1.8*(1-$G$2/100)</f>
        <v>1846.8</v>
      </c>
    </row>
    <row r="23" spans="1:6">
      <c r="A23" s="218" t="s">
        <v>899</v>
      </c>
      <c r="B23" s="219">
        <v>1500</v>
      </c>
      <c r="C23" s="219" t="s">
        <v>900</v>
      </c>
      <c r="D23" s="220" t="s">
        <v>789</v>
      </c>
      <c r="E23" s="194" t="s">
        <v>770</v>
      </c>
      <c r="F23" s="193">
        <f>'Стойки Strut  (2)'!F23*1.8*(1-$G$2/100)</f>
        <v>2178</v>
      </c>
    </row>
    <row r="24" spans="1:6">
      <c r="A24" s="218" t="s">
        <v>899</v>
      </c>
      <c r="B24" s="219">
        <v>2000</v>
      </c>
      <c r="C24" s="219" t="s">
        <v>900</v>
      </c>
      <c r="D24" s="220" t="s">
        <v>789</v>
      </c>
      <c r="E24" s="194" t="s">
        <v>770</v>
      </c>
      <c r="F24" s="193">
        <f>'Стойки Strut  (2)'!F24*1.8*(1-$G$2/100)</f>
        <v>2727</v>
      </c>
    </row>
    <row r="25" spans="1:6" ht="19.05">
      <c r="A25" s="215" t="s">
        <v>901</v>
      </c>
      <c r="B25" s="216"/>
      <c r="C25" s="216"/>
      <c r="D25" s="216"/>
      <c r="E25" s="216"/>
      <c r="F25" s="193"/>
    </row>
    <row r="26" spans="1:6">
      <c r="A26" s="218" t="s">
        <v>902</v>
      </c>
      <c r="B26" s="219">
        <v>200</v>
      </c>
      <c r="C26" s="219" t="s">
        <v>903</v>
      </c>
      <c r="D26" s="220" t="s">
        <v>789</v>
      </c>
      <c r="E26" s="194" t="s">
        <v>770</v>
      </c>
      <c r="F26" s="193">
        <f>'Стойки Strut  (2)'!F26*1.8*(1-$G$2/100)</f>
        <v>691.2</v>
      </c>
    </row>
    <row r="27" spans="1:6">
      <c r="A27" s="218" t="s">
        <v>902</v>
      </c>
      <c r="B27" s="219">
        <v>300</v>
      </c>
      <c r="C27" s="219" t="s">
        <v>903</v>
      </c>
      <c r="D27" s="220" t="s">
        <v>789</v>
      </c>
      <c r="E27" s="194" t="s">
        <v>770</v>
      </c>
      <c r="F27" s="193">
        <f>'Стойки Strut  (2)'!F27*1.8*(1-$G$2/100)</f>
        <v>777.6</v>
      </c>
    </row>
    <row r="28" spans="1:6">
      <c r="A28" s="218" t="s">
        <v>902</v>
      </c>
      <c r="B28" s="219">
        <v>400</v>
      </c>
      <c r="C28" s="219" t="s">
        <v>903</v>
      </c>
      <c r="D28" s="220" t="s">
        <v>789</v>
      </c>
      <c r="E28" s="194" t="s">
        <v>770</v>
      </c>
      <c r="F28" s="193">
        <f>'Стойки Strut  (2)'!F28*1.8*(1-$G$2/100)</f>
        <v>862.2</v>
      </c>
    </row>
    <row r="29" spans="1:6">
      <c r="A29" s="218" t="s">
        <v>902</v>
      </c>
      <c r="B29" s="219">
        <v>500</v>
      </c>
      <c r="C29" s="219" t="s">
        <v>903</v>
      </c>
      <c r="D29" s="220" t="s">
        <v>789</v>
      </c>
      <c r="E29" s="194" t="s">
        <v>770</v>
      </c>
      <c r="F29" s="193">
        <f>'Стойки Strut  (2)'!F29*1.8*(1-$G$2/100)</f>
        <v>946.80000000000007</v>
      </c>
    </row>
    <row r="30" spans="1:6">
      <c r="A30" s="218" t="s">
        <v>902</v>
      </c>
      <c r="B30" s="219">
        <v>600</v>
      </c>
      <c r="C30" s="219" t="s">
        <v>903</v>
      </c>
      <c r="D30" s="220" t="s">
        <v>789</v>
      </c>
      <c r="E30" s="194" t="s">
        <v>770</v>
      </c>
      <c r="F30" s="193">
        <f>'Стойки Strut  (2)'!F30*1.8*(1-$G$2/100)</f>
        <v>1031.4000000000001</v>
      </c>
    </row>
    <row r="31" spans="1:6">
      <c r="A31" s="218" t="s">
        <v>902</v>
      </c>
      <c r="B31" s="219">
        <v>800</v>
      </c>
      <c r="C31" s="219" t="s">
        <v>903</v>
      </c>
      <c r="D31" s="220" t="s">
        <v>789</v>
      </c>
      <c r="E31" s="194" t="s">
        <v>770</v>
      </c>
      <c r="F31" s="193">
        <f>'Стойки Strut  (2)'!F31*1.8*(1-$G$2/100)</f>
        <v>1200.6000000000001</v>
      </c>
    </row>
    <row r="32" spans="1:6">
      <c r="A32" s="218" t="s">
        <v>902</v>
      </c>
      <c r="B32" s="219">
        <v>1000</v>
      </c>
      <c r="C32" s="219" t="s">
        <v>903</v>
      </c>
      <c r="D32" s="220" t="s">
        <v>789</v>
      </c>
      <c r="E32" s="194" t="s">
        <v>770</v>
      </c>
      <c r="F32" s="193">
        <f>'Стойки Strut  (2)'!F32*1.8*(1-$G$2/100)</f>
        <v>1369.8</v>
      </c>
    </row>
    <row r="33" spans="1:6">
      <c r="A33" s="218" t="s">
        <v>902</v>
      </c>
      <c r="B33" s="219">
        <v>1200</v>
      </c>
      <c r="C33" s="219" t="s">
        <v>903</v>
      </c>
      <c r="D33" s="220" t="s">
        <v>789</v>
      </c>
      <c r="E33" s="194" t="s">
        <v>770</v>
      </c>
      <c r="F33" s="193">
        <f>'Стойки Strut  (2)'!F33*1.8*(1-$G$2/100)</f>
        <v>1533.6000000000001</v>
      </c>
    </row>
    <row r="34" spans="1:6">
      <c r="A34" s="218" t="s">
        <v>902</v>
      </c>
      <c r="B34" s="219">
        <v>1500</v>
      </c>
      <c r="C34" s="219" t="s">
        <v>903</v>
      </c>
      <c r="D34" s="220" t="s">
        <v>789</v>
      </c>
      <c r="E34" s="194" t="s">
        <v>770</v>
      </c>
      <c r="F34" s="193">
        <f>'Стойки Strut  (2)'!F34*1.8*(1-$G$2/100)</f>
        <v>1792.8</v>
      </c>
    </row>
    <row r="35" spans="1:6">
      <c r="A35" s="218" t="s">
        <v>902</v>
      </c>
      <c r="B35" s="219">
        <v>2000</v>
      </c>
      <c r="C35" s="219" t="s">
        <v>903</v>
      </c>
      <c r="D35" s="220" t="s">
        <v>789</v>
      </c>
      <c r="E35" s="194" t="s">
        <v>770</v>
      </c>
      <c r="F35" s="193">
        <f>'Стойки Strut  (2)'!F35*1.8*(1-$G$2/100)</f>
        <v>2217.6</v>
      </c>
    </row>
    <row r="36" spans="1:6" ht="19.05">
      <c r="A36" s="215" t="s">
        <v>904</v>
      </c>
      <c r="B36" s="216"/>
      <c r="C36" s="216"/>
      <c r="D36" s="216"/>
      <c r="E36" s="216"/>
      <c r="F36" s="193"/>
    </row>
    <row r="37" spans="1:6">
      <c r="A37" s="218" t="s">
        <v>905</v>
      </c>
      <c r="B37" s="219">
        <v>200</v>
      </c>
      <c r="C37" s="219" t="s">
        <v>906</v>
      </c>
      <c r="D37" s="220" t="s">
        <v>789</v>
      </c>
      <c r="E37" s="194" t="s">
        <v>770</v>
      </c>
      <c r="F37" s="193">
        <f>'Стойки Strut  (2)'!F37*1.8*(1-$G$2/100)</f>
        <v>846</v>
      </c>
    </row>
    <row r="38" spans="1:6">
      <c r="A38" s="218" t="s">
        <v>905</v>
      </c>
      <c r="B38" s="219">
        <v>300</v>
      </c>
      <c r="C38" s="219" t="s">
        <v>906</v>
      </c>
      <c r="D38" s="220" t="s">
        <v>789</v>
      </c>
      <c r="E38" s="194" t="s">
        <v>770</v>
      </c>
      <c r="F38" s="193">
        <f>'Стойки Strut  (2)'!F38*1.8*(1-$G$2/100)</f>
        <v>1004.4</v>
      </c>
    </row>
    <row r="39" spans="1:6">
      <c r="A39" s="218" t="s">
        <v>905</v>
      </c>
      <c r="B39" s="219">
        <v>400</v>
      </c>
      <c r="C39" s="219" t="s">
        <v>906</v>
      </c>
      <c r="D39" s="220" t="s">
        <v>789</v>
      </c>
      <c r="E39" s="194" t="s">
        <v>770</v>
      </c>
      <c r="F39" s="193">
        <f>'Стойки Strut  (2)'!F39*1.8*(1-$G$2/100)</f>
        <v>1164.6000000000001</v>
      </c>
    </row>
    <row r="40" spans="1:6">
      <c r="A40" s="218" t="s">
        <v>905</v>
      </c>
      <c r="B40" s="219">
        <v>500</v>
      </c>
      <c r="C40" s="219" t="s">
        <v>906</v>
      </c>
      <c r="D40" s="220" t="s">
        <v>789</v>
      </c>
      <c r="E40" s="194" t="s">
        <v>770</v>
      </c>
      <c r="F40" s="193">
        <f>'Стойки Strut  (2)'!F40*1.8*(1-$G$2/100)</f>
        <v>1324.8</v>
      </c>
    </row>
    <row r="41" spans="1:6">
      <c r="A41" s="218" t="s">
        <v>905</v>
      </c>
      <c r="B41" s="219">
        <v>600</v>
      </c>
      <c r="C41" s="219" t="s">
        <v>906</v>
      </c>
      <c r="D41" s="220" t="s">
        <v>789</v>
      </c>
      <c r="E41" s="194" t="s">
        <v>770</v>
      </c>
      <c r="F41" s="193">
        <f>'Стойки Strut  (2)'!F41*1.8*(1-$G$2/100)</f>
        <v>1486.8</v>
      </c>
    </row>
    <row r="42" spans="1:6">
      <c r="A42" s="218" t="s">
        <v>905</v>
      </c>
      <c r="B42" s="219">
        <v>800</v>
      </c>
      <c r="C42" s="219" t="s">
        <v>906</v>
      </c>
      <c r="D42" s="220" t="s">
        <v>789</v>
      </c>
      <c r="E42" s="194" t="s">
        <v>770</v>
      </c>
      <c r="F42" s="193">
        <f>'Стойки Strut  (2)'!F42*1.8*(1-$G$2/100)</f>
        <v>1807.2</v>
      </c>
    </row>
    <row r="43" spans="1:6">
      <c r="A43" s="218" t="s">
        <v>905</v>
      </c>
      <c r="B43" s="219">
        <v>1000</v>
      </c>
      <c r="C43" s="219" t="s">
        <v>906</v>
      </c>
      <c r="D43" s="220" t="s">
        <v>789</v>
      </c>
      <c r="E43" s="194" t="s">
        <v>770</v>
      </c>
      <c r="F43" s="193">
        <f>'Стойки Strut  (2)'!F43*1.8*(1-$G$2/100)</f>
        <v>2129.4</v>
      </c>
    </row>
    <row r="44" spans="1:6">
      <c r="A44" s="218" t="s">
        <v>905</v>
      </c>
      <c r="B44" s="219">
        <v>1200</v>
      </c>
      <c r="C44" s="219" t="s">
        <v>906</v>
      </c>
      <c r="D44" s="220" t="s">
        <v>789</v>
      </c>
      <c r="E44" s="194" t="s">
        <v>770</v>
      </c>
      <c r="F44" s="193">
        <f>'Стойки Strut  (2)'!F44*1.8*(1-$G$2/100)</f>
        <v>2448</v>
      </c>
    </row>
    <row r="45" spans="1:6">
      <c r="A45" s="218" t="s">
        <v>905</v>
      </c>
      <c r="B45" s="219">
        <v>1500</v>
      </c>
      <c r="C45" s="219" t="s">
        <v>906</v>
      </c>
      <c r="D45" s="220" t="s">
        <v>789</v>
      </c>
      <c r="E45" s="194" t="s">
        <v>770</v>
      </c>
      <c r="F45" s="193">
        <f>'Стойки Strut  (2)'!F45*1.8*(1-$G$2/100)</f>
        <v>2930.4</v>
      </c>
    </row>
    <row r="46" spans="1:6">
      <c r="A46" s="218" t="s">
        <v>905</v>
      </c>
      <c r="B46" s="219">
        <v>2000</v>
      </c>
      <c r="C46" s="219" t="s">
        <v>906</v>
      </c>
      <c r="D46" s="220" t="s">
        <v>789</v>
      </c>
      <c r="E46" s="194" t="s">
        <v>770</v>
      </c>
      <c r="F46" s="193">
        <f>'Стойки Strut  (2)'!F46*1.8*(1-$G$2/100)</f>
        <v>3735</v>
      </c>
    </row>
    <row r="47" spans="1:6" ht="19.05">
      <c r="A47" s="215" t="s">
        <v>907</v>
      </c>
      <c r="B47" s="216"/>
      <c r="C47" s="216"/>
      <c r="D47" s="216"/>
      <c r="E47" s="216"/>
      <c r="F47" s="193"/>
    </row>
    <row r="48" spans="1:6">
      <c r="A48" s="218" t="s">
        <v>908</v>
      </c>
      <c r="B48" s="219">
        <v>200</v>
      </c>
      <c r="C48" s="219" t="s">
        <v>909</v>
      </c>
      <c r="D48" s="220" t="s">
        <v>789</v>
      </c>
      <c r="E48" s="194" t="s">
        <v>770</v>
      </c>
      <c r="F48" s="193">
        <f>'Стойки Strut  (2)'!F48*1.8*(1-$G$2/100)</f>
        <v>736.2</v>
      </c>
    </row>
    <row r="49" spans="1:6">
      <c r="A49" s="218" t="s">
        <v>908</v>
      </c>
      <c r="B49" s="219">
        <v>300</v>
      </c>
      <c r="C49" s="219" t="s">
        <v>909</v>
      </c>
      <c r="D49" s="220" t="s">
        <v>789</v>
      </c>
      <c r="E49" s="194" t="s">
        <v>770</v>
      </c>
      <c r="F49" s="193">
        <f>'Стойки Strut  (2)'!F49*1.8*(1-$G$2/100)</f>
        <v>802.80000000000007</v>
      </c>
    </row>
    <row r="50" spans="1:6">
      <c r="A50" s="218" t="s">
        <v>908</v>
      </c>
      <c r="B50" s="219">
        <v>400</v>
      </c>
      <c r="C50" s="219" t="s">
        <v>909</v>
      </c>
      <c r="D50" s="220" t="s">
        <v>789</v>
      </c>
      <c r="E50" s="194" t="s">
        <v>770</v>
      </c>
      <c r="F50" s="193">
        <f>'Стойки Strut  (2)'!F50*1.8*(1-$G$2/100)</f>
        <v>869.4</v>
      </c>
    </row>
    <row r="51" spans="1:6">
      <c r="A51" s="218" t="s">
        <v>908</v>
      </c>
      <c r="B51" s="219">
        <v>500</v>
      </c>
      <c r="C51" s="219" t="s">
        <v>909</v>
      </c>
      <c r="D51" s="220" t="s">
        <v>789</v>
      </c>
      <c r="E51" s="194" t="s">
        <v>770</v>
      </c>
      <c r="F51" s="193">
        <f>'Стойки Strut  (2)'!F51*1.8*(1-$G$2/100)</f>
        <v>937.80000000000007</v>
      </c>
    </row>
    <row r="52" spans="1:6">
      <c r="A52" s="218" t="s">
        <v>908</v>
      </c>
      <c r="B52" s="219">
        <v>600</v>
      </c>
      <c r="C52" s="219" t="s">
        <v>909</v>
      </c>
      <c r="D52" s="220" t="s">
        <v>789</v>
      </c>
      <c r="E52" s="194" t="s">
        <v>770</v>
      </c>
      <c r="F52" s="193">
        <f>'Стойки Strut  (2)'!F52*1.8*(1-$G$2/100)</f>
        <v>1004.4</v>
      </c>
    </row>
    <row r="53" spans="1:6">
      <c r="A53" s="218" t="s">
        <v>908</v>
      </c>
      <c r="B53" s="219">
        <v>800</v>
      </c>
      <c r="C53" s="219" t="s">
        <v>909</v>
      </c>
      <c r="D53" s="220" t="s">
        <v>789</v>
      </c>
      <c r="E53" s="194" t="s">
        <v>770</v>
      </c>
      <c r="F53" s="193">
        <f>'Стойки Strut  (2)'!F53*1.8*(1-$G$2/100)</f>
        <v>1139.4000000000001</v>
      </c>
    </row>
    <row r="54" spans="1:6">
      <c r="A54" s="218" t="s">
        <v>908</v>
      </c>
      <c r="B54" s="219">
        <v>1000</v>
      </c>
      <c r="C54" s="219" t="s">
        <v>909</v>
      </c>
      <c r="D54" s="220" t="s">
        <v>789</v>
      </c>
      <c r="E54" s="194" t="s">
        <v>770</v>
      </c>
      <c r="F54" s="193">
        <f>'Стойки Strut  (2)'!F54*1.8*(1-$G$2/100)</f>
        <v>1274.4000000000001</v>
      </c>
    </row>
    <row r="55" spans="1:6">
      <c r="A55" s="218" t="s">
        <v>908</v>
      </c>
      <c r="B55" s="219">
        <v>1200</v>
      </c>
      <c r="C55" s="219" t="s">
        <v>909</v>
      </c>
      <c r="D55" s="220" t="s">
        <v>789</v>
      </c>
      <c r="E55" s="194" t="s">
        <v>770</v>
      </c>
      <c r="F55" s="193">
        <f>'Стойки Strut  (2)'!F55*1.8*(1-$G$2/100)</f>
        <v>1422</v>
      </c>
    </row>
    <row r="56" spans="1:6">
      <c r="A56" s="218" t="s">
        <v>908</v>
      </c>
      <c r="B56" s="219">
        <v>1500</v>
      </c>
      <c r="C56" s="219" t="s">
        <v>909</v>
      </c>
      <c r="D56" s="220" t="s">
        <v>789</v>
      </c>
      <c r="E56" s="194" t="s">
        <v>770</v>
      </c>
      <c r="F56" s="193">
        <f>'Стойки Strut  (2)'!F56*1.8*(1-$G$2/100)</f>
        <v>1643.4</v>
      </c>
    </row>
    <row r="57" spans="1:6">
      <c r="A57" s="218" t="s">
        <v>908</v>
      </c>
      <c r="B57" s="219">
        <v>2000</v>
      </c>
      <c r="C57" s="219" t="s">
        <v>909</v>
      </c>
      <c r="D57" s="220" t="s">
        <v>789</v>
      </c>
      <c r="E57" s="194" t="s">
        <v>770</v>
      </c>
      <c r="F57" s="193">
        <f>'Стойки Strut  (2)'!F57*1.8*(1-$G$2/100)</f>
        <v>2012.4</v>
      </c>
    </row>
    <row r="58" spans="1:6" ht="19.05">
      <c r="A58" s="215" t="s">
        <v>910</v>
      </c>
      <c r="B58" s="216"/>
      <c r="C58" s="216"/>
      <c r="D58" s="216"/>
      <c r="E58" s="216"/>
      <c r="F58" s="193"/>
    </row>
    <row r="59" spans="1:6">
      <c r="A59" s="218" t="s">
        <v>911</v>
      </c>
      <c r="B59" s="219">
        <v>200</v>
      </c>
      <c r="C59" s="219" t="s">
        <v>912</v>
      </c>
      <c r="D59" s="220" t="s">
        <v>789</v>
      </c>
      <c r="E59" s="194" t="s">
        <v>770</v>
      </c>
      <c r="F59" s="193">
        <f>'Стойки Strut  (2)'!F59*1.8*(1-$G$2/100)</f>
        <v>757.80000000000007</v>
      </c>
    </row>
    <row r="60" spans="1:6">
      <c r="A60" s="218" t="s">
        <v>911</v>
      </c>
      <c r="B60" s="219">
        <v>300</v>
      </c>
      <c r="C60" s="219" t="s">
        <v>912</v>
      </c>
      <c r="D60" s="220" t="s">
        <v>789</v>
      </c>
      <c r="E60" s="194" t="s">
        <v>770</v>
      </c>
      <c r="F60" s="193">
        <f>'Стойки Strut  (2)'!F60*1.8*(1-$G$2/100)</f>
        <v>837</v>
      </c>
    </row>
    <row r="61" spans="1:6">
      <c r="A61" s="218" t="s">
        <v>911</v>
      </c>
      <c r="B61" s="219">
        <v>400</v>
      </c>
      <c r="C61" s="219" t="s">
        <v>912</v>
      </c>
      <c r="D61" s="220" t="s">
        <v>789</v>
      </c>
      <c r="E61" s="194" t="s">
        <v>770</v>
      </c>
      <c r="F61" s="193">
        <f>'Стойки Strut  (2)'!F61*1.8*(1-$G$2/100)</f>
        <v>914.4</v>
      </c>
    </row>
    <row r="62" spans="1:6">
      <c r="A62" s="218" t="s">
        <v>911</v>
      </c>
      <c r="B62" s="219">
        <v>500</v>
      </c>
      <c r="C62" s="219" t="s">
        <v>912</v>
      </c>
      <c r="D62" s="220" t="s">
        <v>789</v>
      </c>
      <c r="E62" s="194" t="s">
        <v>770</v>
      </c>
      <c r="F62" s="193">
        <f>'Стойки Strut  (2)'!F62*1.8*(1-$G$2/100)</f>
        <v>993.6</v>
      </c>
    </row>
    <row r="63" spans="1:6">
      <c r="A63" s="218" t="s">
        <v>911</v>
      </c>
      <c r="B63" s="219">
        <v>600</v>
      </c>
      <c r="C63" s="219" t="s">
        <v>912</v>
      </c>
      <c r="D63" s="220" t="s">
        <v>789</v>
      </c>
      <c r="E63" s="194" t="s">
        <v>770</v>
      </c>
      <c r="F63" s="193">
        <f>'Стойки Strut  (2)'!F63*1.8*(1-$G$2/100)</f>
        <v>1071</v>
      </c>
    </row>
    <row r="64" spans="1:6">
      <c r="A64" s="218" t="s">
        <v>911</v>
      </c>
      <c r="B64" s="219">
        <v>800</v>
      </c>
      <c r="C64" s="219" t="s">
        <v>912</v>
      </c>
      <c r="D64" s="220" t="s">
        <v>789</v>
      </c>
      <c r="E64" s="194" t="s">
        <v>770</v>
      </c>
      <c r="F64" s="193">
        <f>'Стойки Strut  (2)'!F64*1.8*(1-$G$2/100)</f>
        <v>1227.6000000000001</v>
      </c>
    </row>
    <row r="65" spans="1:6">
      <c r="A65" s="218" t="s">
        <v>911</v>
      </c>
      <c r="B65" s="219">
        <v>1000</v>
      </c>
      <c r="C65" s="219" t="s">
        <v>912</v>
      </c>
      <c r="D65" s="220" t="s">
        <v>789</v>
      </c>
      <c r="E65" s="194" t="s">
        <v>770</v>
      </c>
      <c r="F65" s="193">
        <f>'Стойки Strut  (2)'!F65*1.8*(1-$G$2/100)</f>
        <v>1384.2</v>
      </c>
    </row>
    <row r="66" spans="1:6">
      <c r="A66" s="218" t="s">
        <v>911</v>
      </c>
      <c r="B66" s="219">
        <v>1200</v>
      </c>
      <c r="C66" s="219" t="s">
        <v>912</v>
      </c>
      <c r="D66" s="220" t="s">
        <v>789</v>
      </c>
      <c r="E66" s="194" t="s">
        <v>770</v>
      </c>
      <c r="F66" s="193">
        <f>'Стойки Strut  (2)'!F66*1.8*(1-$G$2/100)</f>
        <v>1555.2</v>
      </c>
    </row>
    <row r="67" spans="1:6">
      <c r="A67" s="218" t="s">
        <v>911</v>
      </c>
      <c r="B67" s="219">
        <v>1500</v>
      </c>
      <c r="C67" s="219" t="s">
        <v>912</v>
      </c>
      <c r="D67" s="220" t="s">
        <v>789</v>
      </c>
      <c r="E67" s="194" t="s">
        <v>770</v>
      </c>
      <c r="F67" s="193">
        <f>'Стойки Strut  (2)'!F67*1.8*(1-$G$2/100)</f>
        <v>1809</v>
      </c>
    </row>
    <row r="68" spans="1:6">
      <c r="A68" s="218" t="s">
        <v>911</v>
      </c>
      <c r="B68" s="219">
        <v>2000</v>
      </c>
      <c r="C68" s="219" t="s">
        <v>912</v>
      </c>
      <c r="D68" s="220" t="s">
        <v>789</v>
      </c>
      <c r="E68" s="194" t="s">
        <v>770</v>
      </c>
      <c r="F68" s="193">
        <f>'Стойки Strut  (2)'!F68*1.8*(1-$G$2/100)</f>
        <v>2233.8000000000002</v>
      </c>
    </row>
    <row r="69" spans="1:6" ht="19.05">
      <c r="A69" s="215" t="s">
        <v>913</v>
      </c>
      <c r="B69" s="216"/>
      <c r="C69" s="216"/>
      <c r="D69" s="216"/>
      <c r="E69" s="216"/>
      <c r="F69" s="193"/>
    </row>
    <row r="70" spans="1:6">
      <c r="A70" s="218" t="s">
        <v>914</v>
      </c>
      <c r="B70" s="219">
        <v>500</v>
      </c>
      <c r="C70" s="219" t="s">
        <v>903</v>
      </c>
      <c r="D70" s="220" t="s">
        <v>789</v>
      </c>
      <c r="E70" s="194" t="s">
        <v>770</v>
      </c>
      <c r="F70" s="193">
        <f>'Стойки Strut  (2)'!F70*1.8*(1-$G$2/100)</f>
        <v>1018.8000000000001</v>
      </c>
    </row>
    <row r="71" spans="1:6">
      <c r="A71" s="218" t="s">
        <v>914</v>
      </c>
      <c r="B71" s="219">
        <v>1000</v>
      </c>
      <c r="C71" s="219" t="s">
        <v>903</v>
      </c>
      <c r="D71" s="220" t="s">
        <v>789</v>
      </c>
      <c r="E71" s="194" t="s">
        <v>770</v>
      </c>
      <c r="F71" s="193">
        <f>'Стойки Strut  (2)'!F71*1.8*(1-$G$2/100)</f>
        <v>1369.8</v>
      </c>
    </row>
    <row r="72" spans="1:6">
      <c r="A72" s="218" t="s">
        <v>914</v>
      </c>
      <c r="B72" s="219">
        <v>1500</v>
      </c>
      <c r="C72" s="219" t="s">
        <v>903</v>
      </c>
      <c r="D72" s="220" t="s">
        <v>789</v>
      </c>
      <c r="E72" s="194" t="s">
        <v>770</v>
      </c>
      <c r="F72" s="193">
        <f>'Стойки Strut  (2)'!F72*1.8*(1-$G$2/100)</f>
        <v>1717.2</v>
      </c>
    </row>
    <row r="73" spans="1:6">
      <c r="A73" s="218" t="s">
        <v>914</v>
      </c>
      <c r="B73" s="219">
        <v>2000</v>
      </c>
      <c r="C73" s="219" t="s">
        <v>903</v>
      </c>
      <c r="D73" s="220" t="s">
        <v>789</v>
      </c>
      <c r="E73" s="194" t="s">
        <v>770</v>
      </c>
      <c r="F73" s="193">
        <f>'Стойки Strut  (2)'!F73*1.8*(1-$G$2/100)</f>
        <v>2068.2000000000003</v>
      </c>
    </row>
    <row r="74" spans="1:6" ht="19.05">
      <c r="A74" s="215" t="s">
        <v>915</v>
      </c>
      <c r="B74" s="216"/>
      <c r="C74" s="216"/>
      <c r="D74" s="216"/>
      <c r="E74" s="216"/>
      <c r="F74" s="193"/>
    </row>
    <row r="75" spans="1:6">
      <c r="A75" s="218" t="s">
        <v>914</v>
      </c>
      <c r="B75" s="219">
        <v>500</v>
      </c>
      <c r="C75" s="219" t="s">
        <v>903</v>
      </c>
      <c r="D75" s="220" t="s">
        <v>789</v>
      </c>
      <c r="E75" s="194" t="s">
        <v>770</v>
      </c>
      <c r="F75" s="193">
        <f>'Стойки Strut  (2)'!F75*1.8*(1-$G$2/100)</f>
        <v>975.6</v>
      </c>
    </row>
    <row r="76" spans="1:6">
      <c r="A76" s="218" t="s">
        <v>914</v>
      </c>
      <c r="B76" s="219">
        <v>1000</v>
      </c>
      <c r="C76" s="219" t="s">
        <v>903</v>
      </c>
      <c r="D76" s="220" t="s">
        <v>789</v>
      </c>
      <c r="E76" s="194" t="s">
        <v>770</v>
      </c>
      <c r="F76" s="193">
        <f>'Стойки Strut  (2)'!F76*1.8*(1-$G$2/100)</f>
        <v>1369.8</v>
      </c>
    </row>
    <row r="77" spans="1:6">
      <c r="A77" s="218" t="s">
        <v>914</v>
      </c>
      <c r="B77" s="219">
        <v>1500</v>
      </c>
      <c r="C77" s="219" t="s">
        <v>903</v>
      </c>
      <c r="D77" s="220" t="s">
        <v>789</v>
      </c>
      <c r="E77" s="194" t="s">
        <v>770</v>
      </c>
      <c r="F77" s="193">
        <f>'Стойки Strut  (2)'!F77*1.8*(1-$G$2/100)</f>
        <v>1792.8</v>
      </c>
    </row>
    <row r="78" spans="1:6">
      <c r="A78" s="218" t="s">
        <v>914</v>
      </c>
      <c r="B78" s="219">
        <v>2000</v>
      </c>
      <c r="C78" s="219" t="s">
        <v>903</v>
      </c>
      <c r="D78" s="220" t="s">
        <v>789</v>
      </c>
      <c r="E78" s="194" t="s">
        <v>770</v>
      </c>
      <c r="F78" s="193">
        <f>'Стойки Strut  (2)'!F78*1.8*(1-$G$2/100)</f>
        <v>2217.6</v>
      </c>
    </row>
    <row r="79" spans="1:6" ht="19.05">
      <c r="A79" s="215" t="s">
        <v>916</v>
      </c>
      <c r="B79" s="216"/>
      <c r="C79" s="216"/>
      <c r="D79" s="216"/>
      <c r="E79" s="216"/>
      <c r="F79" s="193"/>
    </row>
    <row r="80" spans="1:6">
      <c r="A80" s="218" t="s">
        <v>917</v>
      </c>
      <c r="B80" s="219">
        <v>500</v>
      </c>
      <c r="C80" s="219" t="s">
        <v>906</v>
      </c>
      <c r="D80" s="220" t="s">
        <v>789</v>
      </c>
      <c r="E80" s="194" t="s">
        <v>770</v>
      </c>
      <c r="F80" s="193">
        <f>'Стойки Strut  (2)'!F80*1.8*(1-$G$2/100)</f>
        <v>1353.6000000000001</v>
      </c>
    </row>
    <row r="81" spans="1:6">
      <c r="A81" s="218" t="s">
        <v>917</v>
      </c>
      <c r="B81" s="219">
        <v>1000</v>
      </c>
      <c r="C81" s="219" t="s">
        <v>906</v>
      </c>
      <c r="D81" s="220" t="s">
        <v>789</v>
      </c>
      <c r="E81" s="194" t="s">
        <v>770</v>
      </c>
      <c r="F81" s="193">
        <f>'Стойки Strut  (2)'!F81*1.8*(1-$G$2/100)</f>
        <v>2129.4</v>
      </c>
    </row>
    <row r="82" spans="1:6">
      <c r="A82" s="218" t="s">
        <v>917</v>
      </c>
      <c r="B82" s="219">
        <v>1500</v>
      </c>
      <c r="C82" s="219" t="s">
        <v>906</v>
      </c>
      <c r="D82" s="220" t="s">
        <v>789</v>
      </c>
      <c r="E82" s="194" t="s">
        <v>770</v>
      </c>
      <c r="F82" s="193">
        <f>'Стойки Strut  (2)'!F82*1.8*(1-$G$2/100)</f>
        <v>2930.4</v>
      </c>
    </row>
    <row r="83" spans="1:6">
      <c r="A83" s="218" t="s">
        <v>917</v>
      </c>
      <c r="B83" s="219">
        <v>2000</v>
      </c>
      <c r="C83" s="219" t="s">
        <v>906</v>
      </c>
      <c r="D83" s="220" t="s">
        <v>789</v>
      </c>
      <c r="E83" s="194" t="s">
        <v>770</v>
      </c>
      <c r="F83" s="193">
        <f>'Стойки Strut  (2)'!F83*1.8*(1-$G$2/100)</f>
        <v>3740.4</v>
      </c>
    </row>
    <row r="84" spans="1:6" ht="19.05">
      <c r="A84" s="215" t="s">
        <v>918</v>
      </c>
      <c r="B84" s="216"/>
      <c r="C84" s="216"/>
      <c r="D84" s="216"/>
      <c r="E84" s="216"/>
      <c r="F84" s="193"/>
    </row>
    <row r="85" spans="1:6">
      <c r="A85" s="218" t="s">
        <v>919</v>
      </c>
      <c r="B85" s="219">
        <v>400</v>
      </c>
      <c r="C85" s="219" t="s">
        <v>897</v>
      </c>
      <c r="D85" s="220" t="s">
        <v>789</v>
      </c>
      <c r="E85" s="195">
        <f>'Стойки Strut  (2)'!E85*1.8*(1-$G$2/100)</f>
        <v>185.54053343112002</v>
      </c>
      <c r="F85" s="193">
        <f>'Стойки Strut  (2)'!F85*1.8*(1-$G$2/100)</f>
        <v>207</v>
      </c>
    </row>
    <row r="86" spans="1:6">
      <c r="A86" s="218" t="s">
        <v>919</v>
      </c>
      <c r="B86" s="219">
        <v>600</v>
      </c>
      <c r="C86" s="219" t="s">
        <v>897</v>
      </c>
      <c r="D86" s="220" t="s">
        <v>789</v>
      </c>
      <c r="E86" s="195">
        <f>'Стойки Strut  (2)'!E86*1.8*(1-$G$2/100)</f>
        <v>276.26960014668009</v>
      </c>
      <c r="F86" s="193">
        <f>'Стойки Strut  (2)'!F86*1.8*(1-$G$2/100)</f>
        <v>295.2</v>
      </c>
    </row>
    <row r="87" spans="1:6">
      <c r="A87" s="218" t="s">
        <v>919</v>
      </c>
      <c r="B87" s="219">
        <v>800</v>
      </c>
      <c r="C87" s="219" t="s">
        <v>897</v>
      </c>
      <c r="D87" s="220" t="s">
        <v>789</v>
      </c>
      <c r="E87" s="195">
        <f>'Стойки Strut  (2)'!E87*1.8*(1-$G$2/100)</f>
        <v>366.99866686224004</v>
      </c>
      <c r="F87" s="193">
        <f>'Стойки Strut  (2)'!F87*1.8*(1-$G$2/100)</f>
        <v>392.40000000000003</v>
      </c>
    </row>
    <row r="88" spans="1:6">
      <c r="A88" s="218" t="s">
        <v>919</v>
      </c>
      <c r="B88" s="219">
        <v>1000</v>
      </c>
      <c r="C88" s="219" t="s">
        <v>897</v>
      </c>
      <c r="D88" s="220" t="s">
        <v>789</v>
      </c>
      <c r="E88" s="195">
        <f>'Стойки Strut  (2)'!E88*1.8*(1-$G$2/100)</f>
        <v>457.7277335778</v>
      </c>
      <c r="F88" s="193">
        <f>'Стойки Strut  (2)'!F88*1.8*(1-$G$2/100)</f>
        <v>489.6</v>
      </c>
    </row>
    <row r="89" spans="1:6">
      <c r="A89" s="218" t="s">
        <v>919</v>
      </c>
      <c r="B89" s="219">
        <v>1200</v>
      </c>
      <c r="C89" s="219" t="s">
        <v>897</v>
      </c>
      <c r="D89" s="220" t="s">
        <v>789</v>
      </c>
      <c r="E89" s="195">
        <f>'Стойки Strut  (2)'!E89*1.8*(1-$G$2/100)</f>
        <v>548.45680029336017</v>
      </c>
      <c r="F89" s="193">
        <f>'Стойки Strut  (2)'!F89*1.8*(1-$G$2/100)</f>
        <v>586.80000000000007</v>
      </c>
    </row>
    <row r="90" spans="1:6">
      <c r="A90" s="218" t="s">
        <v>919</v>
      </c>
      <c r="B90" s="219">
        <v>1500</v>
      </c>
      <c r="C90" s="219" t="s">
        <v>897</v>
      </c>
      <c r="D90" s="220" t="s">
        <v>789</v>
      </c>
      <c r="E90" s="195">
        <f>'Стойки Strut  (2)'!E90*1.8*(1-$G$2/100)</f>
        <v>684.55040036670005</v>
      </c>
      <c r="F90" s="193">
        <f>'Стойки Strut  (2)'!F90*1.8*(1-$G$2/100)</f>
        <v>732.6</v>
      </c>
    </row>
    <row r="91" spans="1:6">
      <c r="A91" s="218" t="s">
        <v>919</v>
      </c>
      <c r="B91" s="219">
        <v>2000</v>
      </c>
      <c r="C91" s="219" t="s">
        <v>897</v>
      </c>
      <c r="D91" s="220" t="s">
        <v>789</v>
      </c>
      <c r="E91" s="195">
        <f>'Стойки Strut  (2)'!E91*1.8*(1-$G$2/100)</f>
        <v>911.3730671556001</v>
      </c>
      <c r="F91" s="193">
        <f>'Стойки Strut  (2)'!F91*1.8*(1-$G$2/100)</f>
        <v>975.6</v>
      </c>
    </row>
    <row r="92" spans="1:6" ht="19.05">
      <c r="A92" s="215" t="s">
        <v>920</v>
      </c>
      <c r="B92" s="216"/>
      <c r="C92" s="216"/>
      <c r="D92" s="216"/>
      <c r="E92" s="195"/>
      <c r="F92" s="193"/>
    </row>
    <row r="93" spans="1:6">
      <c r="A93" s="218" t="s">
        <v>921</v>
      </c>
      <c r="B93" s="219">
        <v>400</v>
      </c>
      <c r="C93" s="219" t="s">
        <v>922</v>
      </c>
      <c r="D93" s="220" t="s">
        <v>789</v>
      </c>
      <c r="E93" s="195">
        <f>'Стойки Strut  (2)'!E93*1.8*(1-$G$2/100)</f>
        <v>116.71059434912641</v>
      </c>
      <c r="F93" s="193">
        <f>'Стойки Strut  (2)'!F93*1.8*(1-$G$2/100)</f>
        <v>127.8</v>
      </c>
    </row>
    <row r="94" spans="1:6">
      <c r="A94" s="218" t="s">
        <v>921</v>
      </c>
      <c r="B94" s="219">
        <v>600</v>
      </c>
      <c r="C94" s="219" t="s">
        <v>922</v>
      </c>
      <c r="D94" s="220" t="s">
        <v>789</v>
      </c>
      <c r="E94" s="195">
        <f>'Стойки Strut  (2)'!E94*1.8*(1-$G$2/100)</f>
        <v>173.02469152368963</v>
      </c>
      <c r="F94" s="193">
        <f>'Стойки Strut  (2)'!F94*1.8*(1-$G$2/100)</f>
        <v>190.8</v>
      </c>
    </row>
    <row r="95" spans="1:6">
      <c r="A95" s="218" t="s">
        <v>921</v>
      </c>
      <c r="B95" s="219">
        <v>800</v>
      </c>
      <c r="C95" s="219" t="s">
        <v>922</v>
      </c>
      <c r="D95" s="220" t="s">
        <v>789</v>
      </c>
      <c r="E95" s="195">
        <f>'Стойки Strut  (2)'!E95*1.8*(1-$G$2/100)</f>
        <v>229.33878869825284</v>
      </c>
      <c r="F95" s="193">
        <f>'Стойки Strut  (2)'!F95*1.8*(1-$G$2/100)</f>
        <v>253.8</v>
      </c>
    </row>
    <row r="96" spans="1:6">
      <c r="A96" s="218" t="s">
        <v>921</v>
      </c>
      <c r="B96" s="219">
        <v>1000</v>
      </c>
      <c r="C96" s="219" t="s">
        <v>922</v>
      </c>
      <c r="D96" s="220" t="s">
        <v>789</v>
      </c>
      <c r="E96" s="195">
        <f>'Стойки Strut  (2)'!E96*1.8*(1-$G$2/100)</f>
        <v>285.65288587281611</v>
      </c>
      <c r="F96" s="193">
        <f>'Стойки Strut  (2)'!F96*1.8*(1-$G$2/100)</f>
        <v>315</v>
      </c>
    </row>
    <row r="97" spans="1:6">
      <c r="A97" s="218" t="s">
        <v>921</v>
      </c>
      <c r="B97" s="219">
        <v>1200</v>
      </c>
      <c r="C97" s="219" t="s">
        <v>922</v>
      </c>
      <c r="D97" s="220" t="s">
        <v>789</v>
      </c>
      <c r="E97" s="195">
        <f>'Стойки Strut  (2)'!E97*1.8*(1-$G$2/100)</f>
        <v>341.96698304737924</v>
      </c>
      <c r="F97" s="193">
        <f>'Стойки Strut  (2)'!F97*1.8*(1-$G$2/100)</f>
        <v>378</v>
      </c>
    </row>
    <row r="98" spans="1:6">
      <c r="A98" s="218" t="s">
        <v>921</v>
      </c>
      <c r="B98" s="219">
        <v>1500</v>
      </c>
      <c r="C98" s="219" t="s">
        <v>922</v>
      </c>
      <c r="D98" s="220" t="s">
        <v>789</v>
      </c>
      <c r="E98" s="195">
        <f>'Стойки Strut  (2)'!E98*1.8*(1-$G$2/100)</f>
        <v>426.43812880922417</v>
      </c>
      <c r="F98" s="193">
        <f>'Стойки Strut  (2)'!F98*1.8*(1-$G$2/100)</f>
        <v>471.6</v>
      </c>
    </row>
    <row r="99" spans="1:6">
      <c r="A99" s="218" t="s">
        <v>921</v>
      </c>
      <c r="B99" s="219">
        <v>2000</v>
      </c>
      <c r="C99" s="219" t="s">
        <v>922</v>
      </c>
      <c r="D99" s="220" t="s">
        <v>789</v>
      </c>
      <c r="E99" s="195">
        <f>'Стойки Strut  (2)'!E99*1.8*(1-$G$2/100)</f>
        <v>567.22337174563211</v>
      </c>
      <c r="F99" s="193">
        <f>'Стойки Strut  (2)'!F99*1.8*(1-$G$2/100)</f>
        <v>628.20000000000005</v>
      </c>
    </row>
    <row r="100" spans="1:6" ht="19.05">
      <c r="A100" s="215" t="s">
        <v>923</v>
      </c>
      <c r="B100" s="216"/>
      <c r="C100" s="216"/>
      <c r="D100" s="216"/>
      <c r="E100" s="195"/>
      <c r="F100" s="193"/>
    </row>
    <row r="101" spans="1:6">
      <c r="A101" s="218" t="s">
        <v>924</v>
      </c>
      <c r="B101" s="219">
        <v>400</v>
      </c>
      <c r="C101" s="219" t="s">
        <v>903</v>
      </c>
      <c r="D101" s="220" t="s">
        <v>789</v>
      </c>
      <c r="E101" s="195">
        <f>'Стойки Strut  (2)'!E101*1.8*(1-$G$2/100)</f>
        <v>271.02223525607997</v>
      </c>
      <c r="F101" s="193">
        <f>'Стойки Strut  (2)'!F101*1.8*(1-$G$2/100)</f>
        <v>289.8</v>
      </c>
    </row>
    <row r="102" spans="1:6">
      <c r="A102" s="218" t="s">
        <v>924</v>
      </c>
      <c r="B102" s="219">
        <v>600</v>
      </c>
      <c r="C102" s="219" t="s">
        <v>903</v>
      </c>
      <c r="D102" s="220" t="s">
        <v>789</v>
      </c>
      <c r="E102" s="195">
        <f>'Стойки Strut  (2)'!E102*1.8*(1-$G$2/100)</f>
        <v>404.49215288412</v>
      </c>
      <c r="F102" s="193">
        <f>'Стойки Strut  (2)'!F102*1.8*(1-$G$2/100)</f>
        <v>433.8</v>
      </c>
    </row>
    <row r="103" spans="1:6">
      <c r="A103" s="218" t="s">
        <v>924</v>
      </c>
      <c r="B103" s="219">
        <v>800</v>
      </c>
      <c r="C103" s="219" t="s">
        <v>903</v>
      </c>
      <c r="D103" s="220" t="s">
        <v>789</v>
      </c>
      <c r="E103" s="195">
        <f>'Стойки Strut  (2)'!E103*1.8*(1-$G$2/100)</f>
        <v>537.96207051216004</v>
      </c>
      <c r="F103" s="193">
        <f>'Стойки Strut  (2)'!F103*1.8*(1-$G$2/100)</f>
        <v>577.80000000000007</v>
      </c>
    </row>
    <row r="104" spans="1:6">
      <c r="A104" s="218" t="s">
        <v>924</v>
      </c>
      <c r="B104" s="219">
        <v>1000</v>
      </c>
      <c r="C104" s="219" t="s">
        <v>903</v>
      </c>
      <c r="D104" s="220" t="s">
        <v>789</v>
      </c>
      <c r="E104" s="195">
        <f>'Стойки Strut  (2)'!E104*1.8*(1-$G$2/100)</f>
        <v>671.43198814020002</v>
      </c>
      <c r="F104" s="193">
        <f>'Стойки Strut  (2)'!F104*1.8*(1-$G$2/100)</f>
        <v>721.80000000000007</v>
      </c>
    </row>
    <row r="105" spans="1:6">
      <c r="A105" s="218" t="s">
        <v>924</v>
      </c>
      <c r="B105" s="219">
        <v>1200</v>
      </c>
      <c r="C105" s="219" t="s">
        <v>903</v>
      </c>
      <c r="D105" s="220" t="s">
        <v>789</v>
      </c>
      <c r="E105" s="195">
        <f>'Стойки Strut  (2)'!E105*1.8*(1-$G$2/100)</f>
        <v>804.90190576824</v>
      </c>
      <c r="F105" s="193">
        <f>'Стойки Strut  (2)'!F105*1.8*(1-$G$2/100)</f>
        <v>865.80000000000007</v>
      </c>
    </row>
    <row r="106" spans="1:6">
      <c r="A106" s="218" t="s">
        <v>924</v>
      </c>
      <c r="B106" s="219">
        <v>1500</v>
      </c>
      <c r="C106" s="219" t="s">
        <v>903</v>
      </c>
      <c r="D106" s="220" t="s">
        <v>789</v>
      </c>
      <c r="E106" s="195">
        <f>'Стойки Strut  (2)'!E106*1.8*(1-$G$2/100)</f>
        <v>1005.1067822103005</v>
      </c>
      <c r="F106" s="193">
        <f>'Стойки Strut  (2)'!F106*1.8*(1-$G$2/100)</f>
        <v>1081.8</v>
      </c>
    </row>
    <row r="107" spans="1:6">
      <c r="A107" s="218" t="s">
        <v>924</v>
      </c>
      <c r="B107" s="219">
        <v>2000</v>
      </c>
      <c r="C107" s="219" t="s">
        <v>897</v>
      </c>
      <c r="D107" s="220" t="s">
        <v>789</v>
      </c>
      <c r="E107" s="195">
        <f>'Стойки Strut  (2)'!E107*1.8*(1-$G$2/100)</f>
        <v>1338.7815762804003</v>
      </c>
      <c r="F107" s="193">
        <f>'Стойки Strut  (2)'!F107*1.8*(1-$G$2/100)</f>
        <v>1441.8</v>
      </c>
    </row>
    <row r="108" spans="1:6" ht="19.05">
      <c r="A108" s="215" t="s">
        <v>925</v>
      </c>
      <c r="B108" s="216"/>
      <c r="C108" s="216"/>
      <c r="D108" s="216"/>
      <c r="E108" s="195"/>
      <c r="F108" s="193"/>
    </row>
    <row r="109" spans="1:6">
      <c r="A109" s="218" t="s">
        <v>926</v>
      </c>
      <c r="B109" s="219">
        <v>400</v>
      </c>
      <c r="C109" s="219" t="s">
        <v>927</v>
      </c>
      <c r="D109" s="220" t="s">
        <v>789</v>
      </c>
      <c r="E109" s="195">
        <f>'Стойки Strut  (2)'!E109*1.8*(1-$G$2/100)</f>
        <v>163.93192383324964</v>
      </c>
      <c r="F109" s="193">
        <f>'Стойки Strut  (2)'!F109*1.8*(1-$G$2/100)</f>
        <v>181.8</v>
      </c>
    </row>
    <row r="110" spans="1:6">
      <c r="A110" s="218" t="s">
        <v>926</v>
      </c>
      <c r="B110" s="219">
        <v>600</v>
      </c>
      <c r="C110" s="219" t="s">
        <v>927</v>
      </c>
      <c r="D110" s="220" t="s">
        <v>789</v>
      </c>
      <c r="E110" s="195">
        <f>'Стойки Strut  (2)'!E110*1.8*(1-$G$2/100)</f>
        <v>243.8566857498744</v>
      </c>
      <c r="F110" s="193">
        <f>'Стойки Strut  (2)'!F110*1.8*(1-$G$2/100)</f>
        <v>271.8</v>
      </c>
    </row>
    <row r="111" spans="1:6">
      <c r="A111" s="218" t="s">
        <v>926</v>
      </c>
      <c r="B111" s="219">
        <v>800</v>
      </c>
      <c r="C111" s="219" t="s">
        <v>927</v>
      </c>
      <c r="D111" s="220" t="s">
        <v>789</v>
      </c>
      <c r="E111" s="195">
        <f>'Стойки Strut  (2)'!E111*1.8*(1-$G$2/100)</f>
        <v>323.78144766649928</v>
      </c>
      <c r="F111" s="193">
        <f>'Стойки Strut  (2)'!F111*1.8*(1-$G$2/100)</f>
        <v>360</v>
      </c>
    </row>
    <row r="112" spans="1:6">
      <c r="A112" s="218" t="s">
        <v>926</v>
      </c>
      <c r="B112" s="219">
        <v>1000</v>
      </c>
      <c r="C112" s="219" t="s">
        <v>927</v>
      </c>
      <c r="D112" s="220" t="s">
        <v>789</v>
      </c>
      <c r="E112" s="195">
        <f>'Стойки Strut  (2)'!E112*1.8*(1-$G$2/100)</f>
        <v>403.70620958312406</v>
      </c>
      <c r="F112" s="193">
        <f>'Стойки Strut  (2)'!F112*1.8*(1-$G$2/100)</f>
        <v>450</v>
      </c>
    </row>
    <row r="113" spans="1:6">
      <c r="A113" s="218" t="s">
        <v>926</v>
      </c>
      <c r="B113" s="219">
        <v>1200</v>
      </c>
      <c r="C113" s="219" t="s">
        <v>927</v>
      </c>
      <c r="D113" s="220" t="s">
        <v>789</v>
      </c>
      <c r="E113" s="195">
        <f>'Стойки Strut  (2)'!E113*1.8*(1-$G$2/100)</f>
        <v>483.63097149974885</v>
      </c>
      <c r="F113" s="193">
        <f>'Стойки Strut  (2)'!F113*1.8*(1-$G$2/100)</f>
        <v>540</v>
      </c>
    </row>
    <row r="114" spans="1:6">
      <c r="A114" s="218" t="s">
        <v>926</v>
      </c>
      <c r="B114" s="219">
        <v>1500</v>
      </c>
      <c r="C114" s="219" t="s">
        <v>927</v>
      </c>
      <c r="D114" s="220" t="s">
        <v>789</v>
      </c>
      <c r="E114" s="195">
        <f>'Стойки Strut  (2)'!E114*1.8*(1-$G$2/100)</f>
        <v>603.51811437468609</v>
      </c>
      <c r="F114" s="193">
        <f>'Стойки Strut  (2)'!F114*1.8*(1-$G$2/100)</f>
        <v>675</v>
      </c>
    </row>
    <row r="115" spans="1:6">
      <c r="A115" s="218" t="s">
        <v>926</v>
      </c>
      <c r="B115" s="219">
        <v>2000</v>
      </c>
      <c r="C115" s="219" t="s">
        <v>927</v>
      </c>
      <c r="D115" s="220" t="s">
        <v>789</v>
      </c>
      <c r="E115" s="195">
        <f>'Стойки Strut  (2)'!E115*1.8*(1-$G$2/100)</f>
        <v>803.33001916624801</v>
      </c>
      <c r="F115" s="193">
        <f>'Стойки Strut  (2)'!F115*1.8*(1-$G$2/100)</f>
        <v>898.2</v>
      </c>
    </row>
  </sheetData>
  <mergeCells count="8">
    <mergeCell ref="G1:H1"/>
    <mergeCell ref="G2:H2"/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5"/>
  <dimension ref="A1:F115"/>
  <sheetViews>
    <sheetView workbookViewId="0">
      <selection activeCell="F4" sqref="F4"/>
    </sheetView>
  </sheetViews>
  <sheetFormatPr defaultRowHeight="14.3"/>
  <cols>
    <col min="1" max="1" width="19.375" bestFit="1" customWidth="1"/>
    <col min="2" max="2" width="8.875" bestFit="1" customWidth="1"/>
    <col min="3" max="3" width="12.375" customWidth="1"/>
    <col min="5" max="5" width="5.75" bestFit="1" customWidth="1"/>
    <col min="6" max="6" width="7" bestFit="1" customWidth="1"/>
  </cols>
  <sheetData>
    <row r="1" spans="1:6" ht="14.95" customHeight="1">
      <c r="A1" s="1019" t="s">
        <v>2</v>
      </c>
      <c r="B1" s="1021" t="s">
        <v>894</v>
      </c>
      <c r="C1" s="1023" t="s">
        <v>1195</v>
      </c>
      <c r="D1" s="1025" t="s">
        <v>766</v>
      </c>
      <c r="E1" s="1016" t="s">
        <v>1186</v>
      </c>
      <c r="F1" s="1006" t="s">
        <v>1185</v>
      </c>
    </row>
    <row r="2" spans="1:6" ht="23.95" customHeight="1">
      <c r="A2" s="1020"/>
      <c r="B2" s="1022"/>
      <c r="C2" s="1024"/>
      <c r="D2" s="1026"/>
      <c r="E2" s="1017"/>
      <c r="F2" s="1007"/>
    </row>
    <row r="3" spans="1:6" ht="19.05">
      <c r="A3" s="1027" t="s">
        <v>895</v>
      </c>
      <c r="B3" s="1028"/>
      <c r="C3" s="1028"/>
      <c r="D3" s="1028"/>
      <c r="E3" s="1028"/>
      <c r="F3" s="1029"/>
    </row>
    <row r="4" spans="1:6">
      <c r="A4" s="168" t="s">
        <v>896</v>
      </c>
      <c r="B4" s="163">
        <v>200</v>
      </c>
      <c r="C4" s="163" t="s">
        <v>897</v>
      </c>
      <c r="D4" s="169" t="s">
        <v>789</v>
      </c>
      <c r="E4" s="174" t="s">
        <v>770</v>
      </c>
      <c r="F4" s="175">
        <f>352*'Цены на металл '!C13</f>
        <v>352</v>
      </c>
    </row>
    <row r="5" spans="1:6">
      <c r="A5" s="168" t="s">
        <v>896</v>
      </c>
      <c r="B5" s="163">
        <v>300</v>
      </c>
      <c r="C5" s="163" t="s">
        <v>897</v>
      </c>
      <c r="D5" s="169" t="s">
        <v>789</v>
      </c>
      <c r="E5" s="174" t="s">
        <v>770</v>
      </c>
      <c r="F5" s="175">
        <f>383*'Цены на металл '!C13</f>
        <v>383</v>
      </c>
    </row>
    <row r="6" spans="1:6">
      <c r="A6" s="168" t="s">
        <v>896</v>
      </c>
      <c r="B6" s="163">
        <v>400</v>
      </c>
      <c r="C6" s="163" t="s">
        <v>897</v>
      </c>
      <c r="D6" s="169" t="s">
        <v>789</v>
      </c>
      <c r="E6" s="174" t="s">
        <v>770</v>
      </c>
      <c r="F6" s="175">
        <f>413*'Цены на металл '!C13</f>
        <v>413</v>
      </c>
    </row>
    <row r="7" spans="1:6">
      <c r="A7" s="168" t="s">
        <v>896</v>
      </c>
      <c r="B7" s="163">
        <v>500</v>
      </c>
      <c r="C7" s="163" t="s">
        <v>897</v>
      </c>
      <c r="D7" s="169" t="s">
        <v>789</v>
      </c>
      <c r="E7" s="174" t="s">
        <v>770</v>
      </c>
      <c r="F7" s="175">
        <f>444*'Цены на металл '!C13</f>
        <v>444</v>
      </c>
    </row>
    <row r="8" spans="1:6">
      <c r="A8" s="168" t="s">
        <v>896</v>
      </c>
      <c r="B8" s="163">
        <v>600</v>
      </c>
      <c r="C8" s="163" t="s">
        <v>897</v>
      </c>
      <c r="D8" s="169" t="s">
        <v>789</v>
      </c>
      <c r="E8" s="174" t="s">
        <v>770</v>
      </c>
      <c r="F8" s="175">
        <f>474*'Цены на металл '!C13</f>
        <v>474</v>
      </c>
    </row>
    <row r="9" spans="1:6">
      <c r="A9" s="168" t="s">
        <v>896</v>
      </c>
      <c r="B9" s="163">
        <v>800</v>
      </c>
      <c r="C9" s="163" t="s">
        <v>897</v>
      </c>
      <c r="D9" s="169" t="s">
        <v>789</v>
      </c>
      <c r="E9" s="174" t="s">
        <v>770</v>
      </c>
      <c r="F9" s="175">
        <f>536*'Цены на металл '!C13</f>
        <v>536</v>
      </c>
    </row>
    <row r="10" spans="1:6">
      <c r="A10" s="168" t="s">
        <v>896</v>
      </c>
      <c r="B10" s="163">
        <v>1000</v>
      </c>
      <c r="C10" s="163" t="s">
        <v>897</v>
      </c>
      <c r="D10" s="169" t="s">
        <v>789</v>
      </c>
      <c r="E10" s="174" t="s">
        <v>770</v>
      </c>
      <c r="F10" s="175">
        <f>597*'Цены на металл '!C13</f>
        <v>597</v>
      </c>
    </row>
    <row r="11" spans="1:6">
      <c r="A11" s="168" t="s">
        <v>896</v>
      </c>
      <c r="B11" s="163">
        <v>1200</v>
      </c>
      <c r="C11" s="163" t="s">
        <v>897</v>
      </c>
      <c r="D11" s="169" t="s">
        <v>789</v>
      </c>
      <c r="E11" s="174" t="s">
        <v>770</v>
      </c>
      <c r="F11" s="175">
        <f>658*'Цены на металл '!C13</f>
        <v>658</v>
      </c>
    </row>
    <row r="12" spans="1:6">
      <c r="A12" s="168" t="s">
        <v>896</v>
      </c>
      <c r="B12" s="163">
        <v>1500</v>
      </c>
      <c r="C12" s="163" t="s">
        <v>897</v>
      </c>
      <c r="D12" s="169" t="s">
        <v>789</v>
      </c>
      <c r="E12" s="174" t="s">
        <v>770</v>
      </c>
      <c r="F12" s="175">
        <f>750*'Цены на металл '!C13</f>
        <v>750</v>
      </c>
    </row>
    <row r="13" spans="1:6">
      <c r="A13" s="168" t="s">
        <v>896</v>
      </c>
      <c r="B13" s="163">
        <v>2000</v>
      </c>
      <c r="C13" s="163" t="s">
        <v>897</v>
      </c>
      <c r="D13" s="169" t="s">
        <v>789</v>
      </c>
      <c r="E13" s="174" t="s">
        <v>770</v>
      </c>
      <c r="F13" s="175">
        <f>903*'Цены на металл '!C13</f>
        <v>903</v>
      </c>
    </row>
    <row r="14" spans="1:6" ht="19.05">
      <c r="A14" s="1018" t="s">
        <v>898</v>
      </c>
      <c r="B14" s="1018"/>
      <c r="C14" s="1018"/>
      <c r="D14" s="1018"/>
      <c r="E14" s="1018"/>
      <c r="F14" s="1018"/>
    </row>
    <row r="15" spans="1:6">
      <c r="A15" s="168" t="s">
        <v>899</v>
      </c>
      <c r="B15" s="163">
        <v>200</v>
      </c>
      <c r="C15" s="163" t="s">
        <v>900</v>
      </c>
      <c r="D15" s="169" t="s">
        <v>789</v>
      </c>
      <c r="E15" s="174" t="s">
        <v>770</v>
      </c>
      <c r="F15" s="175">
        <f>413*'Цены на металл '!C13</f>
        <v>413</v>
      </c>
    </row>
    <row r="16" spans="1:6">
      <c r="A16" s="168" t="s">
        <v>899</v>
      </c>
      <c r="B16" s="163">
        <v>300</v>
      </c>
      <c r="C16" s="163" t="s">
        <v>900</v>
      </c>
      <c r="D16" s="169" t="s">
        <v>789</v>
      </c>
      <c r="E16" s="174" t="s">
        <v>770</v>
      </c>
      <c r="F16" s="175">
        <f>474*'Цены на металл '!C13</f>
        <v>474</v>
      </c>
    </row>
    <row r="17" spans="1:6">
      <c r="A17" s="168" t="s">
        <v>899</v>
      </c>
      <c r="B17" s="163">
        <v>400</v>
      </c>
      <c r="C17" s="163" t="s">
        <v>900</v>
      </c>
      <c r="D17" s="169" t="s">
        <v>789</v>
      </c>
      <c r="E17" s="174" t="s">
        <v>770</v>
      </c>
      <c r="F17" s="175">
        <f>536*'Цены на металл '!C13</f>
        <v>536</v>
      </c>
    </row>
    <row r="18" spans="1:6">
      <c r="A18" s="168" t="s">
        <v>899</v>
      </c>
      <c r="B18" s="163">
        <v>500</v>
      </c>
      <c r="C18" s="163" t="s">
        <v>900</v>
      </c>
      <c r="D18" s="169" t="s">
        <v>789</v>
      </c>
      <c r="E18" s="174" t="s">
        <v>770</v>
      </c>
      <c r="F18" s="175">
        <f>596*'Цены на металл '!C13</f>
        <v>596</v>
      </c>
    </row>
    <row r="19" spans="1:6">
      <c r="A19" s="168" t="s">
        <v>899</v>
      </c>
      <c r="B19" s="163">
        <v>600</v>
      </c>
      <c r="C19" s="163" t="s">
        <v>900</v>
      </c>
      <c r="D19" s="169" t="s">
        <v>789</v>
      </c>
      <c r="E19" s="174" t="s">
        <v>770</v>
      </c>
      <c r="F19" s="175">
        <f>658*'Цены на металл '!C13</f>
        <v>658</v>
      </c>
    </row>
    <row r="20" spans="1:6">
      <c r="A20" s="168" t="s">
        <v>899</v>
      </c>
      <c r="B20" s="163">
        <v>800</v>
      </c>
      <c r="C20" s="163" t="s">
        <v>900</v>
      </c>
      <c r="D20" s="169" t="s">
        <v>789</v>
      </c>
      <c r="E20" s="174" t="s">
        <v>770</v>
      </c>
      <c r="F20" s="175">
        <f>780*'Цены на металл '!C13</f>
        <v>780</v>
      </c>
    </row>
    <row r="21" spans="1:6">
      <c r="A21" s="168" t="s">
        <v>899</v>
      </c>
      <c r="B21" s="163">
        <v>1000</v>
      </c>
      <c r="C21" s="163" t="s">
        <v>900</v>
      </c>
      <c r="D21" s="169" t="s">
        <v>789</v>
      </c>
      <c r="E21" s="174" t="s">
        <v>770</v>
      </c>
      <c r="F21" s="175">
        <f>904*'Цены на металл '!C13</f>
        <v>904</v>
      </c>
    </row>
    <row r="22" spans="1:6">
      <c r="A22" s="168" t="s">
        <v>899</v>
      </c>
      <c r="B22" s="163">
        <v>1200</v>
      </c>
      <c r="C22" s="163" t="s">
        <v>900</v>
      </c>
      <c r="D22" s="169" t="s">
        <v>789</v>
      </c>
      <c r="E22" s="174" t="s">
        <v>770</v>
      </c>
      <c r="F22" s="175">
        <f>1026*'Цены на металл '!C13</f>
        <v>1026</v>
      </c>
    </row>
    <row r="23" spans="1:6">
      <c r="A23" s="168" t="s">
        <v>899</v>
      </c>
      <c r="B23" s="163">
        <v>1500</v>
      </c>
      <c r="C23" s="163" t="s">
        <v>900</v>
      </c>
      <c r="D23" s="169" t="s">
        <v>789</v>
      </c>
      <c r="E23" s="174" t="s">
        <v>770</v>
      </c>
      <c r="F23" s="175">
        <f>1210*'Цены на металл '!C13</f>
        <v>1210</v>
      </c>
    </row>
    <row r="24" spans="1:6">
      <c r="A24" s="168" t="s">
        <v>899</v>
      </c>
      <c r="B24" s="163">
        <v>2000</v>
      </c>
      <c r="C24" s="163" t="s">
        <v>900</v>
      </c>
      <c r="D24" s="169" t="s">
        <v>789</v>
      </c>
      <c r="E24" s="174" t="s">
        <v>770</v>
      </c>
      <c r="F24" s="175">
        <f>1515*'Цены на металл '!C13</f>
        <v>1515</v>
      </c>
    </row>
    <row r="25" spans="1:6" ht="19.05">
      <c r="A25" s="1018" t="s">
        <v>901</v>
      </c>
      <c r="B25" s="1018"/>
      <c r="C25" s="1018"/>
      <c r="D25" s="1018"/>
      <c r="E25" s="1018"/>
      <c r="F25" s="1018"/>
    </row>
    <row r="26" spans="1:6">
      <c r="A26" s="168" t="s">
        <v>902</v>
      </c>
      <c r="B26" s="163">
        <v>200</v>
      </c>
      <c r="C26" s="163" t="s">
        <v>903</v>
      </c>
      <c r="D26" s="169" t="s">
        <v>789</v>
      </c>
      <c r="E26" s="174" t="s">
        <v>770</v>
      </c>
      <c r="F26" s="175">
        <f>384*'Цены на металл '!C13</f>
        <v>384</v>
      </c>
    </row>
    <row r="27" spans="1:6">
      <c r="A27" s="168" t="s">
        <v>902</v>
      </c>
      <c r="B27" s="163">
        <v>300</v>
      </c>
      <c r="C27" s="163" t="s">
        <v>903</v>
      </c>
      <c r="D27" s="169" t="s">
        <v>789</v>
      </c>
      <c r="E27" s="174" t="s">
        <v>770</v>
      </c>
      <c r="F27" s="175">
        <f>432*'Цены на металл '!C13</f>
        <v>432</v>
      </c>
    </row>
    <row r="28" spans="1:6">
      <c r="A28" s="168" t="s">
        <v>902</v>
      </c>
      <c r="B28" s="163">
        <v>400</v>
      </c>
      <c r="C28" s="163" t="s">
        <v>903</v>
      </c>
      <c r="D28" s="169" t="s">
        <v>789</v>
      </c>
      <c r="E28" s="174" t="s">
        <v>770</v>
      </c>
      <c r="F28" s="175">
        <f>479*'Цены на металл '!C13</f>
        <v>479</v>
      </c>
    </row>
    <row r="29" spans="1:6">
      <c r="A29" s="168" t="s">
        <v>902</v>
      </c>
      <c r="B29" s="163">
        <v>500</v>
      </c>
      <c r="C29" s="163" t="s">
        <v>903</v>
      </c>
      <c r="D29" s="169" t="s">
        <v>789</v>
      </c>
      <c r="E29" s="174" t="s">
        <v>770</v>
      </c>
      <c r="F29" s="175">
        <f>526*'Цены на металл '!C13</f>
        <v>526</v>
      </c>
    </row>
    <row r="30" spans="1:6">
      <c r="A30" s="168" t="s">
        <v>902</v>
      </c>
      <c r="B30" s="163">
        <v>600</v>
      </c>
      <c r="C30" s="163" t="s">
        <v>903</v>
      </c>
      <c r="D30" s="169" t="s">
        <v>789</v>
      </c>
      <c r="E30" s="174" t="s">
        <v>770</v>
      </c>
      <c r="F30" s="175">
        <f>573*'Цены на металл '!C13</f>
        <v>573</v>
      </c>
    </row>
    <row r="31" spans="1:6">
      <c r="A31" s="168" t="s">
        <v>902</v>
      </c>
      <c r="B31" s="163">
        <v>800</v>
      </c>
      <c r="C31" s="163" t="s">
        <v>903</v>
      </c>
      <c r="D31" s="169" t="s">
        <v>789</v>
      </c>
      <c r="E31" s="174" t="s">
        <v>770</v>
      </c>
      <c r="F31" s="175">
        <f>667*'Цены на металл '!C13</f>
        <v>667</v>
      </c>
    </row>
    <row r="32" spans="1:6">
      <c r="A32" s="168" t="s">
        <v>902</v>
      </c>
      <c r="B32" s="163">
        <v>1000</v>
      </c>
      <c r="C32" s="163" t="s">
        <v>903</v>
      </c>
      <c r="D32" s="169" t="s">
        <v>789</v>
      </c>
      <c r="E32" s="174" t="s">
        <v>770</v>
      </c>
      <c r="F32" s="175">
        <f>761*'Цены на металл '!C13</f>
        <v>761</v>
      </c>
    </row>
    <row r="33" spans="1:6">
      <c r="A33" s="168" t="s">
        <v>902</v>
      </c>
      <c r="B33" s="163">
        <v>1200</v>
      </c>
      <c r="C33" s="163" t="s">
        <v>903</v>
      </c>
      <c r="D33" s="169" t="s">
        <v>789</v>
      </c>
      <c r="E33" s="174" t="s">
        <v>770</v>
      </c>
      <c r="F33" s="175">
        <f>852*'Цены на металл '!C13</f>
        <v>852</v>
      </c>
    </row>
    <row r="34" spans="1:6">
      <c r="A34" s="168" t="s">
        <v>902</v>
      </c>
      <c r="B34" s="163">
        <v>1500</v>
      </c>
      <c r="C34" s="163" t="s">
        <v>903</v>
      </c>
      <c r="D34" s="169" t="s">
        <v>789</v>
      </c>
      <c r="E34" s="174" t="s">
        <v>770</v>
      </c>
      <c r="F34" s="175">
        <f>996*'Цены на металл '!C13</f>
        <v>996</v>
      </c>
    </row>
    <row r="35" spans="1:6">
      <c r="A35" s="168" t="s">
        <v>902</v>
      </c>
      <c r="B35" s="163">
        <v>2000</v>
      </c>
      <c r="C35" s="163" t="s">
        <v>903</v>
      </c>
      <c r="D35" s="169" t="s">
        <v>789</v>
      </c>
      <c r="E35" s="174" t="s">
        <v>770</v>
      </c>
      <c r="F35" s="175">
        <f>1232*'Цены на металл '!C13</f>
        <v>1232</v>
      </c>
    </row>
    <row r="36" spans="1:6" ht="19.05">
      <c r="A36" s="1018" t="s">
        <v>904</v>
      </c>
      <c r="B36" s="1018"/>
      <c r="C36" s="1018"/>
      <c r="D36" s="1018"/>
      <c r="E36" s="1018"/>
      <c r="F36" s="1018"/>
    </row>
    <row r="37" spans="1:6">
      <c r="A37" s="168" t="s">
        <v>905</v>
      </c>
      <c r="B37" s="163">
        <v>200</v>
      </c>
      <c r="C37" s="163" t="s">
        <v>906</v>
      </c>
      <c r="D37" s="169" t="s">
        <v>789</v>
      </c>
      <c r="E37" s="174" t="s">
        <v>770</v>
      </c>
      <c r="F37" s="175">
        <f>470*'Цены на металл '!C13</f>
        <v>470</v>
      </c>
    </row>
    <row r="38" spans="1:6">
      <c r="A38" s="168" t="s">
        <v>905</v>
      </c>
      <c r="B38" s="163">
        <v>300</v>
      </c>
      <c r="C38" s="163" t="s">
        <v>906</v>
      </c>
      <c r="D38" s="169" t="s">
        <v>789</v>
      </c>
      <c r="E38" s="174" t="s">
        <v>770</v>
      </c>
      <c r="F38" s="175">
        <f>558*'Цены на металл '!C13</f>
        <v>558</v>
      </c>
    </row>
    <row r="39" spans="1:6">
      <c r="A39" s="168" t="s">
        <v>905</v>
      </c>
      <c r="B39" s="163">
        <v>400</v>
      </c>
      <c r="C39" s="163" t="s">
        <v>906</v>
      </c>
      <c r="D39" s="169" t="s">
        <v>789</v>
      </c>
      <c r="E39" s="174" t="s">
        <v>770</v>
      </c>
      <c r="F39" s="175">
        <f>647*'Цены на металл '!C13</f>
        <v>647</v>
      </c>
    </row>
    <row r="40" spans="1:6">
      <c r="A40" s="168" t="s">
        <v>905</v>
      </c>
      <c r="B40" s="163">
        <v>500</v>
      </c>
      <c r="C40" s="163" t="s">
        <v>906</v>
      </c>
      <c r="D40" s="169" t="s">
        <v>789</v>
      </c>
      <c r="E40" s="174" t="s">
        <v>770</v>
      </c>
      <c r="F40" s="175">
        <f>736*'Цены на металл '!C13</f>
        <v>736</v>
      </c>
    </row>
    <row r="41" spans="1:6">
      <c r="A41" s="168" t="s">
        <v>905</v>
      </c>
      <c r="B41" s="163">
        <v>600</v>
      </c>
      <c r="C41" s="163" t="s">
        <v>906</v>
      </c>
      <c r="D41" s="169" t="s">
        <v>789</v>
      </c>
      <c r="E41" s="174" t="s">
        <v>770</v>
      </c>
      <c r="F41" s="175">
        <f>826*'Цены на металл '!C13</f>
        <v>826</v>
      </c>
    </row>
    <row r="42" spans="1:6">
      <c r="A42" s="168" t="s">
        <v>905</v>
      </c>
      <c r="B42" s="163">
        <v>800</v>
      </c>
      <c r="C42" s="163" t="s">
        <v>906</v>
      </c>
      <c r="D42" s="169" t="s">
        <v>789</v>
      </c>
      <c r="E42" s="174" t="s">
        <v>770</v>
      </c>
      <c r="F42" s="175">
        <f>1004*'Цены на металл '!C13</f>
        <v>1004</v>
      </c>
    </row>
    <row r="43" spans="1:6">
      <c r="A43" s="168" t="s">
        <v>905</v>
      </c>
      <c r="B43" s="163">
        <v>1000</v>
      </c>
      <c r="C43" s="163" t="s">
        <v>906</v>
      </c>
      <c r="D43" s="169" t="s">
        <v>789</v>
      </c>
      <c r="E43" s="174" t="s">
        <v>770</v>
      </c>
      <c r="F43" s="175">
        <f>1183*'Цены на металл '!C13</f>
        <v>1183</v>
      </c>
    </row>
    <row r="44" spans="1:6">
      <c r="A44" s="168" t="s">
        <v>905</v>
      </c>
      <c r="B44" s="163">
        <v>1200</v>
      </c>
      <c r="C44" s="163" t="s">
        <v>906</v>
      </c>
      <c r="D44" s="169" t="s">
        <v>789</v>
      </c>
      <c r="E44" s="174" t="s">
        <v>770</v>
      </c>
      <c r="F44" s="175">
        <f>1360*'Цены на металл '!C13</f>
        <v>1360</v>
      </c>
    </row>
    <row r="45" spans="1:6">
      <c r="A45" s="168" t="s">
        <v>905</v>
      </c>
      <c r="B45" s="163">
        <v>1500</v>
      </c>
      <c r="C45" s="163" t="s">
        <v>906</v>
      </c>
      <c r="D45" s="169" t="s">
        <v>789</v>
      </c>
      <c r="E45" s="174" t="s">
        <v>770</v>
      </c>
      <c r="F45" s="175">
        <f>1628*'Цены на металл '!C13</f>
        <v>1628</v>
      </c>
    </row>
    <row r="46" spans="1:6">
      <c r="A46" s="168" t="s">
        <v>905</v>
      </c>
      <c r="B46" s="163">
        <v>2000</v>
      </c>
      <c r="C46" s="163" t="s">
        <v>906</v>
      </c>
      <c r="D46" s="169" t="s">
        <v>789</v>
      </c>
      <c r="E46" s="174" t="s">
        <v>770</v>
      </c>
      <c r="F46" s="175">
        <f>2075*'Цены на металл '!C13</f>
        <v>2075</v>
      </c>
    </row>
    <row r="47" spans="1:6" ht="19.05">
      <c r="A47" s="1018" t="s">
        <v>907</v>
      </c>
      <c r="B47" s="1018"/>
      <c r="C47" s="1018"/>
      <c r="D47" s="1018"/>
      <c r="E47" s="1018"/>
      <c r="F47" s="1018"/>
    </row>
    <row r="48" spans="1:6">
      <c r="A48" s="168" t="s">
        <v>908</v>
      </c>
      <c r="B48" s="163">
        <v>200</v>
      </c>
      <c r="C48" s="163" t="s">
        <v>909</v>
      </c>
      <c r="D48" s="169" t="s">
        <v>789</v>
      </c>
      <c r="E48" s="174" t="s">
        <v>770</v>
      </c>
      <c r="F48" s="175">
        <f>409*'Цены на металл '!C13</f>
        <v>409</v>
      </c>
    </row>
    <row r="49" spans="1:6">
      <c r="A49" s="168" t="s">
        <v>908</v>
      </c>
      <c r="B49" s="163">
        <v>300</v>
      </c>
      <c r="C49" s="163" t="s">
        <v>909</v>
      </c>
      <c r="D49" s="169" t="s">
        <v>789</v>
      </c>
      <c r="E49" s="174" t="s">
        <v>770</v>
      </c>
      <c r="F49" s="175">
        <f>446*'Цены на металл '!C13</f>
        <v>446</v>
      </c>
    </row>
    <row r="50" spans="1:6">
      <c r="A50" s="168" t="s">
        <v>908</v>
      </c>
      <c r="B50" s="163">
        <v>400</v>
      </c>
      <c r="C50" s="163" t="s">
        <v>909</v>
      </c>
      <c r="D50" s="169" t="s">
        <v>789</v>
      </c>
      <c r="E50" s="174" t="s">
        <v>770</v>
      </c>
      <c r="F50" s="175">
        <f>483*'Цены на металл '!C13</f>
        <v>483</v>
      </c>
    </row>
    <row r="51" spans="1:6">
      <c r="A51" s="168" t="s">
        <v>908</v>
      </c>
      <c r="B51" s="163">
        <v>500</v>
      </c>
      <c r="C51" s="163" t="s">
        <v>909</v>
      </c>
      <c r="D51" s="169" t="s">
        <v>789</v>
      </c>
      <c r="E51" s="174" t="s">
        <v>770</v>
      </c>
      <c r="F51" s="175">
        <f>521*'Цены на металл '!C13</f>
        <v>521</v>
      </c>
    </row>
    <row r="52" spans="1:6">
      <c r="A52" s="168" t="s">
        <v>908</v>
      </c>
      <c r="B52" s="163">
        <v>600</v>
      </c>
      <c r="C52" s="163" t="s">
        <v>909</v>
      </c>
      <c r="D52" s="169" t="s">
        <v>789</v>
      </c>
      <c r="E52" s="174" t="s">
        <v>770</v>
      </c>
      <c r="F52" s="175">
        <f>558*'Цены на металл '!C13</f>
        <v>558</v>
      </c>
    </row>
    <row r="53" spans="1:6">
      <c r="A53" s="168" t="s">
        <v>908</v>
      </c>
      <c r="B53" s="163">
        <v>800</v>
      </c>
      <c r="C53" s="163" t="s">
        <v>909</v>
      </c>
      <c r="D53" s="169" t="s">
        <v>789</v>
      </c>
      <c r="E53" s="174" t="s">
        <v>770</v>
      </c>
      <c r="F53" s="175">
        <f>633*'Цены на металл '!C13</f>
        <v>633</v>
      </c>
    </row>
    <row r="54" spans="1:6">
      <c r="A54" s="168" t="s">
        <v>908</v>
      </c>
      <c r="B54" s="163">
        <v>1000</v>
      </c>
      <c r="C54" s="163" t="s">
        <v>909</v>
      </c>
      <c r="D54" s="169" t="s">
        <v>789</v>
      </c>
      <c r="E54" s="174" t="s">
        <v>770</v>
      </c>
      <c r="F54" s="175">
        <f>708*'Цены на металл '!C13</f>
        <v>708</v>
      </c>
    </row>
    <row r="55" spans="1:6">
      <c r="A55" s="168" t="s">
        <v>908</v>
      </c>
      <c r="B55" s="163">
        <v>1200</v>
      </c>
      <c r="C55" s="163" t="s">
        <v>909</v>
      </c>
      <c r="D55" s="169" t="s">
        <v>789</v>
      </c>
      <c r="E55" s="174" t="s">
        <v>770</v>
      </c>
      <c r="F55" s="175">
        <f>790*'Цены на металл '!C13</f>
        <v>790</v>
      </c>
    </row>
    <row r="56" spans="1:6">
      <c r="A56" s="168" t="s">
        <v>908</v>
      </c>
      <c r="B56" s="163">
        <v>1500</v>
      </c>
      <c r="C56" s="163" t="s">
        <v>909</v>
      </c>
      <c r="D56" s="169" t="s">
        <v>789</v>
      </c>
      <c r="E56" s="174" t="s">
        <v>770</v>
      </c>
      <c r="F56" s="175">
        <f>913*'Цены на металл '!C13</f>
        <v>913</v>
      </c>
    </row>
    <row r="57" spans="1:6">
      <c r="A57" s="168" t="s">
        <v>908</v>
      </c>
      <c r="B57" s="163">
        <v>2000</v>
      </c>
      <c r="C57" s="163" t="s">
        <v>909</v>
      </c>
      <c r="D57" s="169" t="s">
        <v>789</v>
      </c>
      <c r="E57" s="174" t="s">
        <v>770</v>
      </c>
      <c r="F57" s="175">
        <f>1118*'Цены на металл '!C13</f>
        <v>1118</v>
      </c>
    </row>
    <row r="58" spans="1:6" ht="19.05">
      <c r="A58" s="1018" t="s">
        <v>910</v>
      </c>
      <c r="B58" s="1018"/>
      <c r="C58" s="1018"/>
      <c r="D58" s="1018"/>
      <c r="E58" s="1018"/>
      <c r="F58" s="1018"/>
    </row>
    <row r="59" spans="1:6">
      <c r="A59" s="168" t="s">
        <v>911</v>
      </c>
      <c r="B59" s="163">
        <v>200</v>
      </c>
      <c r="C59" s="163" t="s">
        <v>912</v>
      </c>
      <c r="D59" s="169" t="s">
        <v>789</v>
      </c>
      <c r="E59" s="174" t="s">
        <v>770</v>
      </c>
      <c r="F59" s="175">
        <f>421*'Цены на металл '!C13</f>
        <v>421</v>
      </c>
    </row>
    <row r="60" spans="1:6">
      <c r="A60" s="168" t="s">
        <v>911</v>
      </c>
      <c r="B60" s="163">
        <v>300</v>
      </c>
      <c r="C60" s="163" t="s">
        <v>912</v>
      </c>
      <c r="D60" s="169" t="s">
        <v>789</v>
      </c>
      <c r="E60" s="174" t="s">
        <v>770</v>
      </c>
      <c r="F60" s="175">
        <f>465*'Цены на металл '!C13</f>
        <v>465</v>
      </c>
    </row>
    <row r="61" spans="1:6">
      <c r="A61" s="168" t="s">
        <v>911</v>
      </c>
      <c r="B61" s="163">
        <v>400</v>
      </c>
      <c r="C61" s="163" t="s">
        <v>912</v>
      </c>
      <c r="D61" s="169" t="s">
        <v>789</v>
      </c>
      <c r="E61" s="174" t="s">
        <v>770</v>
      </c>
      <c r="F61" s="175">
        <f>508*'Цены на металл '!C13</f>
        <v>508</v>
      </c>
    </row>
    <row r="62" spans="1:6">
      <c r="A62" s="168" t="s">
        <v>911</v>
      </c>
      <c r="B62" s="163">
        <v>500</v>
      </c>
      <c r="C62" s="163" t="s">
        <v>912</v>
      </c>
      <c r="D62" s="169" t="s">
        <v>789</v>
      </c>
      <c r="E62" s="174" t="s">
        <v>770</v>
      </c>
      <c r="F62" s="175">
        <f>552*'Цены на металл '!C13</f>
        <v>552</v>
      </c>
    </row>
    <row r="63" spans="1:6">
      <c r="A63" s="168" t="s">
        <v>911</v>
      </c>
      <c r="B63" s="163">
        <v>600</v>
      </c>
      <c r="C63" s="163" t="s">
        <v>912</v>
      </c>
      <c r="D63" s="169" t="s">
        <v>789</v>
      </c>
      <c r="E63" s="174" t="s">
        <v>770</v>
      </c>
      <c r="F63" s="175">
        <f>595*'Цены на металл '!C13</f>
        <v>595</v>
      </c>
    </row>
    <row r="64" spans="1:6">
      <c r="A64" s="168" t="s">
        <v>911</v>
      </c>
      <c r="B64" s="163">
        <v>800</v>
      </c>
      <c r="C64" s="163" t="s">
        <v>912</v>
      </c>
      <c r="D64" s="169" t="s">
        <v>789</v>
      </c>
      <c r="E64" s="174" t="s">
        <v>770</v>
      </c>
      <c r="F64" s="175">
        <f>682*'Цены на металл '!C13</f>
        <v>682</v>
      </c>
    </row>
    <row r="65" spans="1:6">
      <c r="A65" s="168" t="s">
        <v>911</v>
      </c>
      <c r="B65" s="163">
        <v>1000</v>
      </c>
      <c r="C65" s="163" t="s">
        <v>912</v>
      </c>
      <c r="D65" s="169" t="s">
        <v>789</v>
      </c>
      <c r="E65" s="174" t="s">
        <v>770</v>
      </c>
      <c r="F65" s="175">
        <f>769*'Цены на металл '!C13</f>
        <v>769</v>
      </c>
    </row>
    <row r="66" spans="1:6">
      <c r="A66" s="168" t="s">
        <v>911</v>
      </c>
      <c r="B66" s="163">
        <v>1200</v>
      </c>
      <c r="C66" s="163" t="s">
        <v>912</v>
      </c>
      <c r="D66" s="169" t="s">
        <v>789</v>
      </c>
      <c r="E66" s="174" t="s">
        <v>770</v>
      </c>
      <c r="F66" s="175">
        <f>864*'Цены на металл '!C13</f>
        <v>864</v>
      </c>
    </row>
    <row r="67" spans="1:6">
      <c r="A67" s="168" t="s">
        <v>911</v>
      </c>
      <c r="B67" s="163">
        <v>1500</v>
      </c>
      <c r="C67" s="163" t="s">
        <v>912</v>
      </c>
      <c r="D67" s="169" t="s">
        <v>789</v>
      </c>
      <c r="E67" s="174" t="s">
        <v>770</v>
      </c>
      <c r="F67" s="175">
        <f>1005*'Цены на металл '!C13</f>
        <v>1005</v>
      </c>
    </row>
    <row r="68" spans="1:6">
      <c r="A68" s="168" t="s">
        <v>911</v>
      </c>
      <c r="B68" s="163">
        <v>2000</v>
      </c>
      <c r="C68" s="163" t="s">
        <v>912</v>
      </c>
      <c r="D68" s="169" t="s">
        <v>789</v>
      </c>
      <c r="E68" s="174" t="s">
        <v>770</v>
      </c>
      <c r="F68" s="175">
        <f>1241*'Цены на металл '!C13</f>
        <v>1241</v>
      </c>
    </row>
    <row r="69" spans="1:6" ht="19.05">
      <c r="A69" s="1018" t="s">
        <v>2053</v>
      </c>
      <c r="B69" s="1018"/>
      <c r="C69" s="1018"/>
      <c r="D69" s="1018"/>
      <c r="E69" s="1018"/>
      <c r="F69" s="1018"/>
    </row>
    <row r="70" spans="1:6">
      <c r="A70" s="168" t="s">
        <v>914</v>
      </c>
      <c r="B70" s="163">
        <v>500</v>
      </c>
      <c r="C70" s="163" t="s">
        <v>903</v>
      </c>
      <c r="D70" s="169" t="s">
        <v>789</v>
      </c>
      <c r="E70" s="174" t="s">
        <v>770</v>
      </c>
      <c r="F70" s="175">
        <f>566*'Цены на металл '!C13</f>
        <v>566</v>
      </c>
    </row>
    <row r="71" spans="1:6">
      <c r="A71" s="168" t="s">
        <v>914</v>
      </c>
      <c r="B71" s="163">
        <v>1000</v>
      </c>
      <c r="C71" s="163" t="s">
        <v>903</v>
      </c>
      <c r="D71" s="169" t="s">
        <v>789</v>
      </c>
      <c r="E71" s="174" t="s">
        <v>770</v>
      </c>
      <c r="F71" s="175">
        <f>761*'Цены на металл '!C13</f>
        <v>761</v>
      </c>
    </row>
    <row r="72" spans="1:6">
      <c r="A72" s="168" t="s">
        <v>914</v>
      </c>
      <c r="B72" s="163">
        <v>1500</v>
      </c>
      <c r="C72" s="163" t="s">
        <v>903</v>
      </c>
      <c r="D72" s="169" t="s">
        <v>789</v>
      </c>
      <c r="E72" s="174" t="s">
        <v>770</v>
      </c>
      <c r="F72" s="175">
        <f>954*'Цены на металл '!C13</f>
        <v>954</v>
      </c>
    </row>
    <row r="73" spans="1:6">
      <c r="A73" s="168" t="s">
        <v>914</v>
      </c>
      <c r="B73" s="163">
        <v>2000</v>
      </c>
      <c r="C73" s="163" t="s">
        <v>903</v>
      </c>
      <c r="D73" s="169" t="s">
        <v>789</v>
      </c>
      <c r="E73" s="174" t="s">
        <v>770</v>
      </c>
      <c r="F73" s="175">
        <f>1149*'Цены на металл '!C13</f>
        <v>1149</v>
      </c>
    </row>
    <row r="74" spans="1:6" ht="19.05">
      <c r="A74" s="1018" t="s">
        <v>915</v>
      </c>
      <c r="B74" s="1018"/>
      <c r="C74" s="1018"/>
      <c r="D74" s="1018"/>
      <c r="E74" s="1018"/>
      <c r="F74" s="1018"/>
    </row>
    <row r="75" spans="1:6">
      <c r="A75" s="168" t="s">
        <v>914</v>
      </c>
      <c r="B75" s="163">
        <v>500</v>
      </c>
      <c r="C75" s="163" t="s">
        <v>903</v>
      </c>
      <c r="D75" s="169" t="s">
        <v>789</v>
      </c>
      <c r="E75" s="174" t="s">
        <v>770</v>
      </c>
      <c r="F75" s="175">
        <f>542*'Цены на металл '!C13</f>
        <v>542</v>
      </c>
    </row>
    <row r="76" spans="1:6">
      <c r="A76" s="168" t="s">
        <v>914</v>
      </c>
      <c r="B76" s="163">
        <v>1000</v>
      </c>
      <c r="C76" s="163" t="s">
        <v>903</v>
      </c>
      <c r="D76" s="169" t="s">
        <v>789</v>
      </c>
      <c r="E76" s="174" t="s">
        <v>770</v>
      </c>
      <c r="F76" s="175">
        <f>761*'Цены на металл '!C13</f>
        <v>761</v>
      </c>
    </row>
    <row r="77" spans="1:6">
      <c r="A77" s="168" t="s">
        <v>914</v>
      </c>
      <c r="B77" s="163">
        <v>1500</v>
      </c>
      <c r="C77" s="163" t="s">
        <v>903</v>
      </c>
      <c r="D77" s="169" t="s">
        <v>789</v>
      </c>
      <c r="E77" s="174" t="s">
        <v>770</v>
      </c>
      <c r="F77" s="175">
        <f>996*'Цены на металл '!C13</f>
        <v>996</v>
      </c>
    </row>
    <row r="78" spans="1:6">
      <c r="A78" s="168" t="s">
        <v>914</v>
      </c>
      <c r="B78" s="163">
        <v>2000</v>
      </c>
      <c r="C78" s="163" t="s">
        <v>903</v>
      </c>
      <c r="D78" s="169" t="s">
        <v>789</v>
      </c>
      <c r="E78" s="174" t="s">
        <v>770</v>
      </c>
      <c r="F78" s="175">
        <f>1232*'Цены на металл '!C13</f>
        <v>1232</v>
      </c>
    </row>
    <row r="79" spans="1:6" ht="19.05">
      <c r="A79" s="1018" t="s">
        <v>916</v>
      </c>
      <c r="B79" s="1018"/>
      <c r="C79" s="1018"/>
      <c r="D79" s="1018"/>
      <c r="E79" s="1018"/>
      <c r="F79" s="1018"/>
    </row>
    <row r="80" spans="1:6">
      <c r="A80" s="168" t="s">
        <v>917</v>
      </c>
      <c r="B80" s="163">
        <v>500</v>
      </c>
      <c r="C80" s="163" t="s">
        <v>906</v>
      </c>
      <c r="D80" s="169" t="s">
        <v>789</v>
      </c>
      <c r="E80" s="174" t="s">
        <v>770</v>
      </c>
      <c r="F80" s="175">
        <f>752*'Цены на металл '!C13</f>
        <v>752</v>
      </c>
    </row>
    <row r="81" spans="1:6">
      <c r="A81" s="168" t="s">
        <v>917</v>
      </c>
      <c r="B81" s="163">
        <v>1000</v>
      </c>
      <c r="C81" s="163" t="s">
        <v>906</v>
      </c>
      <c r="D81" s="169" t="s">
        <v>789</v>
      </c>
      <c r="E81" s="174" t="s">
        <v>770</v>
      </c>
      <c r="F81" s="175">
        <f>1183*'Цены на металл '!C13</f>
        <v>1183</v>
      </c>
    </row>
    <row r="82" spans="1:6">
      <c r="A82" s="168" t="s">
        <v>917</v>
      </c>
      <c r="B82" s="163">
        <v>1500</v>
      </c>
      <c r="C82" s="163" t="s">
        <v>906</v>
      </c>
      <c r="D82" s="169" t="s">
        <v>789</v>
      </c>
      <c r="E82" s="174" t="s">
        <v>770</v>
      </c>
      <c r="F82" s="175">
        <f>1628*'Цены на металл '!C13</f>
        <v>1628</v>
      </c>
    </row>
    <row r="83" spans="1:6">
      <c r="A83" s="168" t="s">
        <v>917</v>
      </c>
      <c r="B83" s="163">
        <v>2000</v>
      </c>
      <c r="C83" s="163" t="s">
        <v>906</v>
      </c>
      <c r="D83" s="169" t="s">
        <v>789</v>
      </c>
      <c r="E83" s="174" t="s">
        <v>770</v>
      </c>
      <c r="F83" s="175">
        <f>2078*'Цены на металл '!C13</f>
        <v>2078</v>
      </c>
    </row>
    <row r="84" spans="1:6" ht="19.05">
      <c r="A84" s="1018" t="s">
        <v>918</v>
      </c>
      <c r="B84" s="1018"/>
      <c r="C84" s="1018"/>
      <c r="D84" s="1018"/>
      <c r="E84" s="1018"/>
      <c r="F84" s="1018"/>
    </row>
    <row r="85" spans="1:6">
      <c r="A85" s="168" t="s">
        <v>919</v>
      </c>
      <c r="B85" s="163">
        <v>400</v>
      </c>
      <c r="C85" s="163" t="s">
        <v>897</v>
      </c>
      <c r="D85" s="169" t="s">
        <v>789</v>
      </c>
      <c r="E85" s="176">
        <v>103.07807412840002</v>
      </c>
      <c r="F85" s="175">
        <f>115*'Цены на металл '!C13</f>
        <v>115</v>
      </c>
    </row>
    <row r="86" spans="1:6">
      <c r="A86" s="168" t="s">
        <v>919</v>
      </c>
      <c r="B86" s="163">
        <v>600</v>
      </c>
      <c r="C86" s="163" t="s">
        <v>897</v>
      </c>
      <c r="D86" s="169" t="s">
        <v>789</v>
      </c>
      <c r="E86" s="176">
        <v>153.48311119260003</v>
      </c>
      <c r="F86" s="175">
        <f>164*'Цены на металл '!C13</f>
        <v>164</v>
      </c>
    </row>
    <row r="87" spans="1:6">
      <c r="A87" s="168" t="s">
        <v>919</v>
      </c>
      <c r="B87" s="163">
        <v>800</v>
      </c>
      <c r="C87" s="163" t="s">
        <v>897</v>
      </c>
      <c r="D87" s="169" t="s">
        <v>789</v>
      </c>
      <c r="E87" s="176">
        <v>203.88814825680001</v>
      </c>
      <c r="F87" s="175">
        <f>218*'Цены на металл '!C13</f>
        <v>218</v>
      </c>
    </row>
    <row r="88" spans="1:6">
      <c r="A88" s="168" t="s">
        <v>919</v>
      </c>
      <c r="B88" s="163">
        <v>1000</v>
      </c>
      <c r="C88" s="163" t="s">
        <v>897</v>
      </c>
      <c r="D88" s="169" t="s">
        <v>789</v>
      </c>
      <c r="E88" s="176">
        <v>254.29318532099998</v>
      </c>
      <c r="F88" s="175">
        <f>272*'Цены на металл '!C13</f>
        <v>272</v>
      </c>
    </row>
    <row r="89" spans="1:6">
      <c r="A89" s="168" t="s">
        <v>919</v>
      </c>
      <c r="B89" s="163">
        <v>1200</v>
      </c>
      <c r="C89" s="163" t="s">
        <v>897</v>
      </c>
      <c r="D89" s="169" t="s">
        <v>789</v>
      </c>
      <c r="E89" s="176">
        <v>304.6982223852001</v>
      </c>
      <c r="F89" s="175">
        <f>326*'Цены на металл '!C13</f>
        <v>326</v>
      </c>
    </row>
    <row r="90" spans="1:6">
      <c r="A90" s="168" t="s">
        <v>919</v>
      </c>
      <c r="B90" s="163">
        <v>1500</v>
      </c>
      <c r="C90" s="163" t="s">
        <v>897</v>
      </c>
      <c r="D90" s="169" t="s">
        <v>789</v>
      </c>
      <c r="E90" s="176">
        <v>380.3057779815</v>
      </c>
      <c r="F90" s="175">
        <f>407*'Цены на металл '!C13</f>
        <v>407</v>
      </c>
    </row>
    <row r="91" spans="1:6">
      <c r="A91" s="168" t="s">
        <v>919</v>
      </c>
      <c r="B91" s="163">
        <v>2000</v>
      </c>
      <c r="C91" s="163" t="s">
        <v>897</v>
      </c>
      <c r="D91" s="169" t="s">
        <v>789</v>
      </c>
      <c r="E91" s="176">
        <v>506.31837064200005</v>
      </c>
      <c r="F91" s="175">
        <f>542*'Цены на металл '!C13</f>
        <v>542</v>
      </c>
    </row>
    <row r="92" spans="1:6" ht="19.05">
      <c r="A92" s="1018" t="s">
        <v>920</v>
      </c>
      <c r="B92" s="1018"/>
      <c r="C92" s="1018"/>
      <c r="D92" s="1018"/>
      <c r="E92" s="1018"/>
      <c r="F92" s="1018"/>
    </row>
    <row r="93" spans="1:6">
      <c r="A93" s="168" t="s">
        <v>921</v>
      </c>
      <c r="B93" s="163">
        <v>400</v>
      </c>
      <c r="C93" s="163" t="s">
        <v>922</v>
      </c>
      <c r="D93" s="169" t="s">
        <v>789</v>
      </c>
      <c r="E93" s="176">
        <v>64.839219082848004</v>
      </c>
      <c r="F93" s="175">
        <f>71*'Цены на металл '!C13</f>
        <v>71</v>
      </c>
    </row>
    <row r="94" spans="1:6">
      <c r="A94" s="168" t="s">
        <v>921</v>
      </c>
      <c r="B94" s="163">
        <v>600</v>
      </c>
      <c r="C94" s="163" t="s">
        <v>922</v>
      </c>
      <c r="D94" s="169" t="s">
        <v>789</v>
      </c>
      <c r="E94" s="176">
        <v>96.124828624272013</v>
      </c>
      <c r="F94" s="175">
        <f>106*'Цены на металл '!C13</f>
        <v>106</v>
      </c>
    </row>
    <row r="95" spans="1:6">
      <c r="A95" s="168" t="s">
        <v>921</v>
      </c>
      <c r="B95" s="163">
        <v>800</v>
      </c>
      <c r="C95" s="163" t="s">
        <v>922</v>
      </c>
      <c r="D95" s="169" t="s">
        <v>789</v>
      </c>
      <c r="E95" s="176">
        <v>127.41043816569602</v>
      </c>
      <c r="F95" s="175">
        <f>141*'Цены на металл '!C13</f>
        <v>141</v>
      </c>
    </row>
    <row r="96" spans="1:6">
      <c r="A96" s="168" t="s">
        <v>921</v>
      </c>
      <c r="B96" s="163">
        <v>1000</v>
      </c>
      <c r="C96" s="163" t="s">
        <v>922</v>
      </c>
      <c r="D96" s="169" t="s">
        <v>789</v>
      </c>
      <c r="E96" s="176">
        <v>158.69604770712004</v>
      </c>
      <c r="F96" s="175">
        <f>175*'Цены на металл '!C13</f>
        <v>175</v>
      </c>
    </row>
    <row r="97" spans="1:6">
      <c r="A97" s="168" t="s">
        <v>921</v>
      </c>
      <c r="B97" s="163">
        <v>1200</v>
      </c>
      <c r="C97" s="163" t="s">
        <v>922</v>
      </c>
      <c r="D97" s="169" t="s">
        <v>789</v>
      </c>
      <c r="E97" s="176">
        <v>189.98165724854402</v>
      </c>
      <c r="F97" s="175">
        <f>210*'Цены на металл '!C13</f>
        <v>210</v>
      </c>
    </row>
    <row r="98" spans="1:6">
      <c r="A98" s="168" t="s">
        <v>921</v>
      </c>
      <c r="B98" s="163">
        <v>1500</v>
      </c>
      <c r="C98" s="163" t="s">
        <v>922</v>
      </c>
      <c r="D98" s="169" t="s">
        <v>789</v>
      </c>
      <c r="E98" s="176">
        <v>236.91007156068008</v>
      </c>
      <c r="F98" s="175">
        <f>262*'Цены на металл '!C13</f>
        <v>262</v>
      </c>
    </row>
    <row r="99" spans="1:6">
      <c r="A99" s="168" t="s">
        <v>921</v>
      </c>
      <c r="B99" s="163">
        <v>2000</v>
      </c>
      <c r="C99" s="163" t="s">
        <v>922</v>
      </c>
      <c r="D99" s="169" t="s">
        <v>789</v>
      </c>
      <c r="E99" s="176">
        <v>315.12409541424006</v>
      </c>
      <c r="F99" s="175">
        <f>349*'Цены на металл '!C13</f>
        <v>349</v>
      </c>
    </row>
    <row r="100" spans="1:6" ht="19.05">
      <c r="A100" s="1018" t="s">
        <v>923</v>
      </c>
      <c r="B100" s="1018"/>
      <c r="C100" s="1018"/>
      <c r="D100" s="1018"/>
      <c r="E100" s="1018"/>
      <c r="F100" s="1018"/>
    </row>
    <row r="101" spans="1:6">
      <c r="A101" s="168" t="s">
        <v>924</v>
      </c>
      <c r="B101" s="163">
        <v>400</v>
      </c>
      <c r="C101" s="163" t="s">
        <v>903</v>
      </c>
      <c r="D101" s="169" t="s">
        <v>789</v>
      </c>
      <c r="E101" s="176">
        <v>150.56790847559998</v>
      </c>
      <c r="F101" s="175">
        <f>161*'Цены на металл '!C13</f>
        <v>161</v>
      </c>
    </row>
    <row r="102" spans="1:6">
      <c r="A102" s="168" t="s">
        <v>924</v>
      </c>
      <c r="B102" s="163">
        <v>600</v>
      </c>
      <c r="C102" s="163" t="s">
        <v>903</v>
      </c>
      <c r="D102" s="169" t="s">
        <v>789</v>
      </c>
      <c r="E102" s="176">
        <v>224.7178627134</v>
      </c>
      <c r="F102" s="175">
        <f>241*'Цены на металл '!C13</f>
        <v>241</v>
      </c>
    </row>
    <row r="103" spans="1:6">
      <c r="A103" s="168" t="s">
        <v>924</v>
      </c>
      <c r="B103" s="163">
        <v>800</v>
      </c>
      <c r="C103" s="163" t="s">
        <v>903</v>
      </c>
      <c r="D103" s="169" t="s">
        <v>789</v>
      </c>
      <c r="E103" s="176">
        <v>298.86781695119998</v>
      </c>
      <c r="F103" s="175">
        <f>321*'Цены на металл '!C13</f>
        <v>321</v>
      </c>
    </row>
    <row r="104" spans="1:6">
      <c r="A104" s="168" t="s">
        <v>924</v>
      </c>
      <c r="B104" s="163">
        <v>1000</v>
      </c>
      <c r="C104" s="163" t="s">
        <v>903</v>
      </c>
      <c r="D104" s="169" t="s">
        <v>789</v>
      </c>
      <c r="E104" s="176">
        <v>373.01777118900003</v>
      </c>
      <c r="F104" s="175">
        <f>401*'Цены на металл '!C13</f>
        <v>401</v>
      </c>
    </row>
    <row r="105" spans="1:6">
      <c r="A105" s="168" t="s">
        <v>924</v>
      </c>
      <c r="B105" s="163">
        <v>1200</v>
      </c>
      <c r="C105" s="163" t="s">
        <v>903</v>
      </c>
      <c r="D105" s="169" t="s">
        <v>789</v>
      </c>
      <c r="E105" s="176">
        <v>447.16772542679996</v>
      </c>
      <c r="F105" s="175">
        <f>481*'Цены на металл '!C13</f>
        <v>481</v>
      </c>
    </row>
    <row r="106" spans="1:6">
      <c r="A106" s="168" t="s">
        <v>924</v>
      </c>
      <c r="B106" s="163">
        <v>1500</v>
      </c>
      <c r="C106" s="163" t="s">
        <v>903</v>
      </c>
      <c r="D106" s="169" t="s">
        <v>789</v>
      </c>
      <c r="E106" s="176">
        <v>558.39265678350023</v>
      </c>
      <c r="F106" s="175">
        <f>601*'Цены на металл '!C13</f>
        <v>601</v>
      </c>
    </row>
    <row r="107" spans="1:6">
      <c r="A107" s="168" t="s">
        <v>924</v>
      </c>
      <c r="B107" s="163">
        <v>2000</v>
      </c>
      <c r="C107" s="163" t="s">
        <v>897</v>
      </c>
      <c r="D107" s="169" t="s">
        <v>789</v>
      </c>
      <c r="E107" s="176">
        <v>743.76754237800014</v>
      </c>
      <c r="F107" s="175">
        <f>801*'Цены на металл '!C13</f>
        <v>801</v>
      </c>
    </row>
    <row r="108" spans="1:6" ht="19.05">
      <c r="A108" s="1018" t="s">
        <v>925</v>
      </c>
      <c r="B108" s="1018"/>
      <c r="C108" s="1018"/>
      <c r="D108" s="1018"/>
      <c r="E108" s="1018"/>
      <c r="F108" s="1018"/>
    </row>
    <row r="109" spans="1:6">
      <c r="A109" s="168" t="s">
        <v>926</v>
      </c>
      <c r="B109" s="163">
        <v>400</v>
      </c>
      <c r="C109" s="163" t="s">
        <v>927</v>
      </c>
      <c r="D109" s="169" t="s">
        <v>789</v>
      </c>
      <c r="E109" s="176">
        <v>91.07329101847202</v>
      </c>
      <c r="F109" s="175">
        <f>101*'Цены на металл '!C13</f>
        <v>101</v>
      </c>
    </row>
    <row r="110" spans="1:6">
      <c r="A110" s="168" t="s">
        <v>926</v>
      </c>
      <c r="B110" s="163">
        <v>600</v>
      </c>
      <c r="C110" s="163" t="s">
        <v>927</v>
      </c>
      <c r="D110" s="169" t="s">
        <v>789</v>
      </c>
      <c r="E110" s="176">
        <v>135.475936527708</v>
      </c>
      <c r="F110" s="175">
        <f>151*'Цены на металл '!C13</f>
        <v>151</v>
      </c>
    </row>
    <row r="111" spans="1:6">
      <c r="A111" s="168" t="s">
        <v>926</v>
      </c>
      <c r="B111" s="163">
        <v>800</v>
      </c>
      <c r="C111" s="163" t="s">
        <v>927</v>
      </c>
      <c r="D111" s="169" t="s">
        <v>789</v>
      </c>
      <c r="E111" s="176">
        <v>179.87858203694404</v>
      </c>
      <c r="F111" s="175">
        <f>200*'Цены на металл '!C13</f>
        <v>200</v>
      </c>
    </row>
    <row r="112" spans="1:6">
      <c r="A112" s="168" t="s">
        <v>926</v>
      </c>
      <c r="B112" s="163">
        <v>1000</v>
      </c>
      <c r="C112" s="163" t="s">
        <v>927</v>
      </c>
      <c r="D112" s="169" t="s">
        <v>789</v>
      </c>
      <c r="E112" s="176">
        <v>224.28122754618002</v>
      </c>
      <c r="F112" s="175">
        <f>250*'Цены на металл '!C13</f>
        <v>250</v>
      </c>
    </row>
    <row r="113" spans="1:6">
      <c r="A113" s="168" t="s">
        <v>926</v>
      </c>
      <c r="B113" s="163">
        <v>1200</v>
      </c>
      <c r="C113" s="163" t="s">
        <v>927</v>
      </c>
      <c r="D113" s="169" t="s">
        <v>789</v>
      </c>
      <c r="E113" s="176">
        <v>268.68387305541603</v>
      </c>
      <c r="F113" s="175">
        <f>300*'Цены на металл '!C13</f>
        <v>300</v>
      </c>
    </row>
    <row r="114" spans="1:6">
      <c r="A114" s="168" t="s">
        <v>926</v>
      </c>
      <c r="B114" s="163">
        <v>1500</v>
      </c>
      <c r="C114" s="163" t="s">
        <v>927</v>
      </c>
      <c r="D114" s="169" t="s">
        <v>789</v>
      </c>
      <c r="E114" s="176">
        <v>335.28784131927006</v>
      </c>
      <c r="F114" s="175">
        <f>375*'Цены на металл '!C13</f>
        <v>375</v>
      </c>
    </row>
    <row r="115" spans="1:6">
      <c r="A115" s="168" t="s">
        <v>926</v>
      </c>
      <c r="B115" s="163">
        <v>2000</v>
      </c>
      <c r="C115" s="163" t="s">
        <v>927</v>
      </c>
      <c r="D115" s="169" t="s">
        <v>789</v>
      </c>
      <c r="E115" s="176">
        <v>446.29445509236001</v>
      </c>
      <c r="F115" s="175">
        <f>499*'Цены на металл '!C13</f>
        <v>499</v>
      </c>
    </row>
  </sheetData>
  <mergeCells count="19">
    <mergeCell ref="A58:F58"/>
    <mergeCell ref="A1:A2"/>
    <mergeCell ref="B1:B2"/>
    <mergeCell ref="C1:C2"/>
    <mergeCell ref="D1:D2"/>
    <mergeCell ref="E1:E2"/>
    <mergeCell ref="F1:F2"/>
    <mergeCell ref="A3:F3"/>
    <mergeCell ref="A14:F14"/>
    <mergeCell ref="A25:F25"/>
    <mergeCell ref="A36:F36"/>
    <mergeCell ref="A47:F47"/>
    <mergeCell ref="A108:F108"/>
    <mergeCell ref="A69:F69"/>
    <mergeCell ref="A74:F74"/>
    <mergeCell ref="A79:F79"/>
    <mergeCell ref="A84:F84"/>
    <mergeCell ref="A92:F92"/>
    <mergeCell ref="A100:F10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6"/>
  <dimension ref="A1:F113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X3" sqref="X3"/>
    </sheetView>
  </sheetViews>
  <sheetFormatPr defaultColWidth="9.125" defaultRowHeight="14.3"/>
  <cols>
    <col min="1" max="1" width="19.375" style="226" bestFit="1" customWidth="1"/>
    <col min="2" max="2" width="8.875" style="226" bestFit="1" customWidth="1"/>
    <col min="3" max="3" width="6.625" style="226" bestFit="1" customWidth="1"/>
    <col min="4" max="4" width="11.125" style="226" customWidth="1"/>
    <col min="5" max="16384" width="9.125" style="200"/>
  </cols>
  <sheetData>
    <row r="1" spans="1:6" ht="14.95" customHeight="1">
      <c r="A1" s="1032" t="s">
        <v>2</v>
      </c>
      <c r="B1" s="1033" t="s">
        <v>894</v>
      </c>
      <c r="C1" s="1030" t="s">
        <v>1186</v>
      </c>
      <c r="D1" s="1031" t="s">
        <v>1185</v>
      </c>
      <c r="E1" s="985" t="s">
        <v>2052</v>
      </c>
      <c r="F1" s="985"/>
    </row>
    <row r="2" spans="1:6" ht="20.25" customHeight="1">
      <c r="A2" s="1032"/>
      <c r="B2" s="1033"/>
      <c r="C2" s="1030"/>
      <c r="D2" s="1031"/>
      <c r="E2" s="985"/>
      <c r="F2" s="985"/>
    </row>
    <row r="3" spans="1:6" ht="14.95" customHeight="1">
      <c r="A3" s="215" t="s">
        <v>787</v>
      </c>
      <c r="B3" s="216"/>
      <c r="C3" s="216"/>
      <c r="D3" s="217"/>
    </row>
    <row r="4" spans="1:6">
      <c r="A4" s="221" t="s">
        <v>788</v>
      </c>
      <c r="B4" s="219">
        <v>100</v>
      </c>
      <c r="C4" s="196" t="s">
        <v>770</v>
      </c>
      <c r="D4" s="164">
        <f>'Кронштейны Strut (2)'!D4*1.8*(1-$E$2/100)</f>
        <v>205.20000000000002</v>
      </c>
    </row>
    <row r="5" spans="1:6">
      <c r="A5" s="221" t="s">
        <v>790</v>
      </c>
      <c r="B5" s="222">
        <v>150</v>
      </c>
      <c r="C5" s="196" t="s">
        <v>770</v>
      </c>
      <c r="D5" s="164">
        <f>'Кронштейны Strut (2)'!D5*1.8*(1-$E$2/100)</f>
        <v>234</v>
      </c>
    </row>
    <row r="6" spans="1:6">
      <c r="A6" s="221" t="s">
        <v>791</v>
      </c>
      <c r="B6" s="222">
        <v>200</v>
      </c>
      <c r="C6" s="196" t="s">
        <v>770</v>
      </c>
      <c r="D6" s="164">
        <f>'Кронштейны Strut (2)'!D6*1.8*(1-$E$2/100)</f>
        <v>270</v>
      </c>
    </row>
    <row r="7" spans="1:6">
      <c r="A7" s="221" t="s">
        <v>792</v>
      </c>
      <c r="B7" s="222">
        <v>250</v>
      </c>
      <c r="C7" s="196" t="s">
        <v>770</v>
      </c>
      <c r="D7" s="164">
        <f>'Кронштейны Strut (2)'!D7*1.8*(1-$E$2/100)</f>
        <v>298.8</v>
      </c>
    </row>
    <row r="8" spans="1:6">
      <c r="A8" s="221" t="s">
        <v>793</v>
      </c>
      <c r="B8" s="222">
        <v>300</v>
      </c>
      <c r="C8" s="196" t="s">
        <v>770</v>
      </c>
      <c r="D8" s="164">
        <f>'Кронштейны Strut (2)'!D8*1.8*(1-$E$2/100)</f>
        <v>334.8</v>
      </c>
    </row>
    <row r="9" spans="1:6">
      <c r="A9" s="221" t="s">
        <v>794</v>
      </c>
      <c r="B9" s="222">
        <v>350</v>
      </c>
      <c r="C9" s="196" t="s">
        <v>770</v>
      </c>
      <c r="D9" s="164">
        <f>'Кронштейны Strut (2)'!D9*1.8*(1-$E$2/100)</f>
        <v>361.8</v>
      </c>
    </row>
    <row r="10" spans="1:6">
      <c r="A10" s="221" t="s">
        <v>795</v>
      </c>
      <c r="B10" s="222">
        <v>400</v>
      </c>
      <c r="C10" s="196" t="s">
        <v>770</v>
      </c>
      <c r="D10" s="164">
        <f>'Кронштейны Strut (2)'!D10*1.8*(1-$E$2/100)</f>
        <v>361.8</v>
      </c>
    </row>
    <row r="11" spans="1:6">
      <c r="A11" s="221" t="s">
        <v>796</v>
      </c>
      <c r="B11" s="222">
        <v>450</v>
      </c>
      <c r="C11" s="196" t="s">
        <v>770</v>
      </c>
      <c r="D11" s="164">
        <f>'Кронштейны Strut (2)'!D11*1.8*(1-$E$2/100)</f>
        <v>387</v>
      </c>
    </row>
    <row r="12" spans="1:6">
      <c r="A12" s="221" t="s">
        <v>797</v>
      </c>
      <c r="B12" s="222">
        <v>500</v>
      </c>
      <c r="C12" s="196" t="s">
        <v>770</v>
      </c>
      <c r="D12" s="164">
        <f>'Кронштейны Strut (2)'!D12*1.8*(1-$E$2/100)</f>
        <v>421.2</v>
      </c>
    </row>
    <row r="13" spans="1:6">
      <c r="A13" s="221" t="s">
        <v>798</v>
      </c>
      <c r="B13" s="222">
        <v>600</v>
      </c>
      <c r="C13" s="196" t="s">
        <v>770</v>
      </c>
      <c r="D13" s="164">
        <f>'Кронштейны Strut (2)'!D13*1.8*(1-$E$2/100)</f>
        <v>480.6</v>
      </c>
    </row>
    <row r="14" spans="1:6">
      <c r="A14" s="221" t="s">
        <v>799</v>
      </c>
      <c r="B14" s="222">
        <v>700</v>
      </c>
      <c r="C14" s="196" t="s">
        <v>770</v>
      </c>
      <c r="D14" s="164">
        <f>'Кронштейны Strut (2)'!D14*1.8*(1-$E$2/100)</f>
        <v>538.20000000000005</v>
      </c>
    </row>
    <row r="15" spans="1:6">
      <c r="A15" s="221" t="s">
        <v>800</v>
      </c>
      <c r="B15" s="222">
        <v>750</v>
      </c>
      <c r="C15" s="196" t="s">
        <v>770</v>
      </c>
      <c r="D15" s="164">
        <f>'Кронштейны Strut (2)'!D15*1.8*(1-$E$2/100)</f>
        <v>561.6</v>
      </c>
    </row>
    <row r="16" spans="1:6">
      <c r="A16" s="221" t="s">
        <v>801</v>
      </c>
      <c r="B16" s="222">
        <v>800</v>
      </c>
      <c r="C16" s="196" t="s">
        <v>770</v>
      </c>
      <c r="D16" s="164">
        <f>'Кронштейны Strut (2)'!D16*1.8*(1-$E$2/100)</f>
        <v>597.6</v>
      </c>
    </row>
    <row r="17" spans="1:4">
      <c r="A17" s="221" t="s">
        <v>802</v>
      </c>
      <c r="B17" s="222">
        <v>900</v>
      </c>
      <c r="C17" s="196" t="s">
        <v>770</v>
      </c>
      <c r="D17" s="164">
        <f>'Кронштейны Strut (2)'!D17*1.8*(1-$E$2/100)</f>
        <v>657</v>
      </c>
    </row>
    <row r="18" spans="1:4" ht="14.95" customHeight="1">
      <c r="A18" s="215" t="s">
        <v>891</v>
      </c>
      <c r="B18" s="216"/>
      <c r="C18" s="216"/>
      <c r="D18" s="216"/>
    </row>
    <row r="19" spans="1:4">
      <c r="A19" s="221" t="s">
        <v>803</v>
      </c>
      <c r="B19" s="219">
        <v>100</v>
      </c>
      <c r="C19" s="196" t="s">
        <v>770</v>
      </c>
      <c r="D19" s="164">
        <f>'Кронштейны Strut (2)'!D19*1.8*(1-$E$2/100)</f>
        <v>291.60000000000002</v>
      </c>
    </row>
    <row r="20" spans="1:4">
      <c r="A20" s="221" t="s">
        <v>804</v>
      </c>
      <c r="B20" s="222">
        <v>150</v>
      </c>
      <c r="C20" s="196" t="s">
        <v>770</v>
      </c>
      <c r="D20" s="164">
        <f>'Кронштейны Strut (2)'!D20*1.8*(1-$E$2/100)</f>
        <v>361.8</v>
      </c>
    </row>
    <row r="21" spans="1:4">
      <c r="A21" s="221" t="s">
        <v>805</v>
      </c>
      <c r="B21" s="222">
        <v>200</v>
      </c>
      <c r="C21" s="196" t="s">
        <v>770</v>
      </c>
      <c r="D21" s="164">
        <f>'Кронштейны Strut (2)'!D21*1.8*(1-$E$2/100)</f>
        <v>410.40000000000003</v>
      </c>
    </row>
    <row r="22" spans="1:4">
      <c r="A22" s="221" t="s">
        <v>806</v>
      </c>
      <c r="B22" s="222">
        <v>250</v>
      </c>
      <c r="C22" s="196" t="s">
        <v>770</v>
      </c>
      <c r="D22" s="164">
        <f>'Кронштейны Strut (2)'!D22*1.8*(1-$E$2/100)</f>
        <v>477</v>
      </c>
    </row>
    <row r="23" spans="1:4">
      <c r="A23" s="221" t="s">
        <v>807</v>
      </c>
      <c r="B23" s="222">
        <v>300</v>
      </c>
      <c r="C23" s="196" t="s">
        <v>770</v>
      </c>
      <c r="D23" s="164">
        <f>'Кронштейны Strut (2)'!D23*1.8*(1-$E$2/100)</f>
        <v>543.6</v>
      </c>
    </row>
    <row r="24" spans="1:4">
      <c r="A24" s="221" t="s">
        <v>808</v>
      </c>
      <c r="B24" s="222">
        <v>350</v>
      </c>
      <c r="C24" s="196" t="s">
        <v>770</v>
      </c>
      <c r="D24" s="164">
        <f>'Кронштейны Strut (2)'!D24*1.8*(1-$E$2/100)</f>
        <v>610.20000000000005</v>
      </c>
    </row>
    <row r="25" spans="1:4">
      <c r="A25" s="221" t="s">
        <v>809</v>
      </c>
      <c r="B25" s="222">
        <v>400</v>
      </c>
      <c r="C25" s="196" t="s">
        <v>770</v>
      </c>
      <c r="D25" s="164">
        <f>'Кронштейны Strut (2)'!D25*1.8*(1-$E$2/100)</f>
        <v>676.80000000000007</v>
      </c>
    </row>
    <row r="26" spans="1:4">
      <c r="A26" s="221" t="s">
        <v>810</v>
      </c>
      <c r="B26" s="222">
        <v>450</v>
      </c>
      <c r="C26" s="196" t="s">
        <v>770</v>
      </c>
      <c r="D26" s="164">
        <f>'Кронштейны Strut (2)'!D26*1.8*(1-$E$2/100)</f>
        <v>743.4</v>
      </c>
    </row>
    <row r="27" spans="1:4">
      <c r="A27" s="221" t="s">
        <v>811</v>
      </c>
      <c r="B27" s="222">
        <v>500</v>
      </c>
      <c r="C27" s="196" t="s">
        <v>770</v>
      </c>
      <c r="D27" s="164">
        <f>'Кронштейны Strut (2)'!D27*1.8*(1-$E$2/100)</f>
        <v>810</v>
      </c>
    </row>
    <row r="28" spans="1:4">
      <c r="A28" s="221" t="s">
        <v>812</v>
      </c>
      <c r="B28" s="222">
        <v>600</v>
      </c>
      <c r="C28" s="196" t="s">
        <v>770</v>
      </c>
      <c r="D28" s="164">
        <f>'Кронштейны Strut (2)'!D28*1.8*(1-$E$2/100)</f>
        <v>945</v>
      </c>
    </row>
    <row r="29" spans="1:4">
      <c r="A29" s="221" t="s">
        <v>813</v>
      </c>
      <c r="B29" s="222">
        <v>700</v>
      </c>
      <c r="C29" s="196" t="s">
        <v>770</v>
      </c>
      <c r="D29" s="164">
        <f>'Кронштейны Strut (2)'!D29*1.8*(1-$E$2/100)</f>
        <v>1076.4000000000001</v>
      </c>
    </row>
    <row r="30" spans="1:4">
      <c r="A30" s="221" t="s">
        <v>814</v>
      </c>
      <c r="B30" s="222">
        <v>750</v>
      </c>
      <c r="C30" s="196" t="s">
        <v>770</v>
      </c>
      <c r="D30" s="164">
        <f>'Кронштейны Strut (2)'!D30*1.8*(1-$E$2/100)</f>
        <v>1144.8</v>
      </c>
    </row>
    <row r="31" spans="1:4">
      <c r="A31" s="221" t="s">
        <v>815</v>
      </c>
      <c r="B31" s="222">
        <v>800</v>
      </c>
      <c r="C31" s="196" t="s">
        <v>770</v>
      </c>
      <c r="D31" s="164">
        <f>'Кронштейны Strut (2)'!D31*1.8*(1-$E$2/100)</f>
        <v>1211.4000000000001</v>
      </c>
    </row>
    <row r="32" spans="1:4">
      <c r="A32" s="221" t="s">
        <v>816</v>
      </c>
      <c r="B32" s="222">
        <v>900</v>
      </c>
      <c r="C32" s="196" t="s">
        <v>770</v>
      </c>
      <c r="D32" s="164">
        <f>'Кронштейны Strut (2)'!D32*1.8*(1-$E$2/100)</f>
        <v>1344.6000000000001</v>
      </c>
    </row>
    <row r="33" spans="1:4">
      <c r="A33" s="221" t="s">
        <v>817</v>
      </c>
      <c r="B33" s="222">
        <v>950</v>
      </c>
      <c r="C33" s="196" t="s">
        <v>770</v>
      </c>
      <c r="D33" s="164">
        <f>'Кронштейны Strut (2)'!D33*1.8*(1-$E$2/100)</f>
        <v>1411.2</v>
      </c>
    </row>
    <row r="34" spans="1:4" ht="14.95" customHeight="1">
      <c r="A34" s="215" t="s">
        <v>892</v>
      </c>
      <c r="B34" s="216"/>
      <c r="C34" s="216"/>
      <c r="D34" s="216"/>
    </row>
    <row r="35" spans="1:4">
      <c r="A35" s="221" t="s">
        <v>818</v>
      </c>
      <c r="B35" s="219">
        <v>100</v>
      </c>
      <c r="C35" s="196" t="s">
        <v>770</v>
      </c>
      <c r="D35" s="164">
        <f>'Кронштейны Strut (2)'!D35*1.8*(1-$E$2/100)</f>
        <v>230.4</v>
      </c>
    </row>
    <row r="36" spans="1:4">
      <c r="A36" s="221" t="s">
        <v>819</v>
      </c>
      <c r="B36" s="222">
        <v>150</v>
      </c>
      <c r="C36" s="196" t="s">
        <v>770</v>
      </c>
      <c r="D36" s="164">
        <f>'Кронштейны Strut (2)'!D36*1.8*(1-$E$2/100)</f>
        <v>279</v>
      </c>
    </row>
    <row r="37" spans="1:4">
      <c r="A37" s="221" t="s">
        <v>820</v>
      </c>
      <c r="B37" s="222">
        <v>200</v>
      </c>
      <c r="C37" s="196" t="s">
        <v>770</v>
      </c>
      <c r="D37" s="164">
        <f>'Кронштейны Strut (2)'!D37*1.8*(1-$E$2/100)</f>
        <v>325.8</v>
      </c>
    </row>
    <row r="38" spans="1:4">
      <c r="A38" s="221" t="s">
        <v>821</v>
      </c>
      <c r="B38" s="222">
        <v>250</v>
      </c>
      <c r="C38" s="196" t="s">
        <v>770</v>
      </c>
      <c r="D38" s="164">
        <f>'Кронштейны Strut (2)'!D38*1.8*(1-$E$2/100)</f>
        <v>374.40000000000003</v>
      </c>
    </row>
    <row r="39" spans="1:4">
      <c r="A39" s="221" t="s">
        <v>822</v>
      </c>
      <c r="B39" s="222">
        <v>300</v>
      </c>
      <c r="C39" s="196" t="s">
        <v>770</v>
      </c>
      <c r="D39" s="164">
        <f>'Кронштейны Strut (2)'!D39*1.8*(1-$E$2/100)</f>
        <v>419.40000000000003</v>
      </c>
    </row>
    <row r="40" spans="1:4">
      <c r="A40" s="221" t="s">
        <v>823</v>
      </c>
      <c r="B40" s="222">
        <v>350</v>
      </c>
      <c r="C40" s="196" t="s">
        <v>770</v>
      </c>
      <c r="D40" s="164">
        <f>'Кронштейны Strut (2)'!D40*1.8*(1-$E$2/100)</f>
        <v>424.8</v>
      </c>
    </row>
    <row r="41" spans="1:4">
      <c r="A41" s="221" t="s">
        <v>824</v>
      </c>
      <c r="B41" s="222">
        <v>400</v>
      </c>
      <c r="C41" s="196" t="s">
        <v>770</v>
      </c>
      <c r="D41" s="164">
        <f>'Кронштейны Strut (2)'!D41*1.8*(1-$E$2/100)</f>
        <v>468</v>
      </c>
    </row>
    <row r="42" spans="1:4">
      <c r="A42" s="221" t="s">
        <v>825</v>
      </c>
      <c r="B42" s="222">
        <v>450</v>
      </c>
      <c r="C42" s="196" t="s">
        <v>770</v>
      </c>
      <c r="D42" s="164">
        <f>'Кронштейны Strut (2)'!D42*1.8*(1-$E$2/100)</f>
        <v>511.2</v>
      </c>
    </row>
    <row r="43" spans="1:4">
      <c r="A43" s="221" t="s">
        <v>826</v>
      </c>
      <c r="B43" s="222">
        <v>500</v>
      </c>
      <c r="C43" s="196" t="s">
        <v>770</v>
      </c>
      <c r="D43" s="164">
        <f>'Кронштейны Strut (2)'!D43*1.8*(1-$E$2/100)</f>
        <v>552.6</v>
      </c>
    </row>
    <row r="44" spans="1:4">
      <c r="A44" s="221" t="s">
        <v>827</v>
      </c>
      <c r="B44" s="222">
        <v>600</v>
      </c>
      <c r="C44" s="196" t="s">
        <v>770</v>
      </c>
      <c r="D44" s="164">
        <f>'Кронштейны Strut (2)'!D44*1.8*(1-$E$2/100)</f>
        <v>639</v>
      </c>
    </row>
    <row r="45" spans="1:4">
      <c r="A45" s="221" t="s">
        <v>828</v>
      </c>
      <c r="B45" s="222">
        <v>700</v>
      </c>
      <c r="C45" s="196" t="s">
        <v>770</v>
      </c>
      <c r="D45" s="164">
        <f>'Кронштейны Strut (2)'!D45*1.8*(1-$E$2/100)</f>
        <v>723.6</v>
      </c>
    </row>
    <row r="46" spans="1:4">
      <c r="A46" s="221" t="s">
        <v>829</v>
      </c>
      <c r="B46" s="222">
        <v>750</v>
      </c>
      <c r="C46" s="196" t="s">
        <v>770</v>
      </c>
      <c r="D46" s="164">
        <f>'Кронштейны Strut (2)'!D46*1.8*(1-$E$2/100)</f>
        <v>766.80000000000007</v>
      </c>
    </row>
    <row r="47" spans="1:4">
      <c r="A47" s="221" t="s">
        <v>830</v>
      </c>
      <c r="B47" s="222">
        <v>800</v>
      </c>
      <c r="C47" s="196" t="s">
        <v>770</v>
      </c>
      <c r="D47" s="164">
        <f>'Кронштейны Strut (2)'!D47*1.8*(1-$E$2/100)</f>
        <v>810</v>
      </c>
    </row>
    <row r="48" spans="1:4">
      <c r="A48" s="221" t="s">
        <v>831</v>
      </c>
      <c r="B48" s="222">
        <v>900</v>
      </c>
      <c r="C48" s="196" t="s">
        <v>770</v>
      </c>
      <c r="D48" s="164">
        <f>'Кронштейны Strut (2)'!D48*1.8*(1-$E$2/100)</f>
        <v>894.6</v>
      </c>
    </row>
    <row r="49" spans="1:4" ht="14.95" customHeight="1">
      <c r="A49" s="215" t="s">
        <v>832</v>
      </c>
      <c r="B49" s="216"/>
      <c r="C49" s="216"/>
      <c r="D49" s="216"/>
    </row>
    <row r="50" spans="1:4">
      <c r="A50" s="221" t="s">
        <v>833</v>
      </c>
      <c r="B50" s="219">
        <v>100</v>
      </c>
      <c r="C50" s="196" t="s">
        <v>770</v>
      </c>
      <c r="D50" s="164">
        <f>'Кронштейны Strut (2)'!D50*1.8*(1-$E$2/100)</f>
        <v>354.6</v>
      </c>
    </row>
    <row r="51" spans="1:4">
      <c r="A51" s="221" t="s">
        <v>834</v>
      </c>
      <c r="B51" s="222">
        <v>150</v>
      </c>
      <c r="C51" s="196" t="s">
        <v>770</v>
      </c>
      <c r="D51" s="164">
        <f>'Кронштейны Strut (2)'!D51*1.8*(1-$E$2/100)</f>
        <v>451.8</v>
      </c>
    </row>
    <row r="52" spans="1:4">
      <c r="A52" s="221" t="s">
        <v>835</v>
      </c>
      <c r="B52" s="222">
        <v>200</v>
      </c>
      <c r="C52" s="196" t="s">
        <v>770</v>
      </c>
      <c r="D52" s="164">
        <f>'Кронштейны Strut (2)'!D52*1.8*(1-$E$2/100)</f>
        <v>550.80000000000007</v>
      </c>
    </row>
    <row r="53" spans="1:4">
      <c r="A53" s="221" t="s">
        <v>836</v>
      </c>
      <c r="B53" s="222">
        <v>250</v>
      </c>
      <c r="C53" s="196" t="s">
        <v>770</v>
      </c>
      <c r="D53" s="164">
        <f>'Кронштейны Strut (2)'!D53*1.8*(1-$E$2/100)</f>
        <v>644.4</v>
      </c>
    </row>
    <row r="54" spans="1:4">
      <c r="A54" s="221" t="s">
        <v>837</v>
      </c>
      <c r="B54" s="222">
        <v>300</v>
      </c>
      <c r="C54" s="196" t="s">
        <v>770</v>
      </c>
      <c r="D54" s="164">
        <f>'Кронштейны Strut (2)'!D54*1.8*(1-$E$2/100)</f>
        <v>745.2</v>
      </c>
    </row>
    <row r="55" spans="1:4">
      <c r="A55" s="221" t="s">
        <v>838</v>
      </c>
      <c r="B55" s="222">
        <v>350</v>
      </c>
      <c r="C55" s="196" t="s">
        <v>770</v>
      </c>
      <c r="D55" s="164">
        <f>'Кронштейны Strut (2)'!D55*1.8*(1-$E$2/100)</f>
        <v>840.6</v>
      </c>
    </row>
    <row r="56" spans="1:4">
      <c r="A56" s="221" t="s">
        <v>839</v>
      </c>
      <c r="B56" s="222">
        <v>400</v>
      </c>
      <c r="C56" s="196" t="s">
        <v>770</v>
      </c>
      <c r="D56" s="164">
        <f>'Кронштейны Strut (2)'!D56*1.8*(1-$E$2/100)</f>
        <v>937.80000000000007</v>
      </c>
    </row>
    <row r="57" spans="1:4">
      <c r="A57" s="221" t="s">
        <v>840</v>
      </c>
      <c r="B57" s="222">
        <v>450</v>
      </c>
      <c r="C57" s="196" t="s">
        <v>770</v>
      </c>
      <c r="D57" s="164">
        <f>'Кронштейны Strut (2)'!D57*1.8*(1-$E$2/100)</f>
        <v>1035</v>
      </c>
    </row>
    <row r="58" spans="1:4">
      <c r="A58" s="221" t="s">
        <v>841</v>
      </c>
      <c r="B58" s="222">
        <v>500</v>
      </c>
      <c r="C58" s="196" t="s">
        <v>770</v>
      </c>
      <c r="D58" s="164">
        <f>'Кронштейны Strut (2)'!D58*1.8*(1-$E$2/100)</f>
        <v>1134</v>
      </c>
    </row>
    <row r="59" spans="1:4">
      <c r="A59" s="221" t="s">
        <v>842</v>
      </c>
      <c r="B59" s="222">
        <v>600</v>
      </c>
      <c r="C59" s="196" t="s">
        <v>770</v>
      </c>
      <c r="D59" s="164">
        <f>'Кронштейны Strut (2)'!D59*1.8*(1-$E$2/100)</f>
        <v>1328.4</v>
      </c>
    </row>
    <row r="60" spans="1:4">
      <c r="A60" s="221" t="s">
        <v>843</v>
      </c>
      <c r="B60" s="222">
        <v>700</v>
      </c>
      <c r="C60" s="196" t="s">
        <v>770</v>
      </c>
      <c r="D60" s="164">
        <f>'Кронштейны Strut (2)'!D60*1.8*(1-$E$2/100)</f>
        <v>1521</v>
      </c>
    </row>
    <row r="61" spans="1:4">
      <c r="A61" s="221" t="s">
        <v>844</v>
      </c>
      <c r="B61" s="222">
        <v>750</v>
      </c>
      <c r="C61" s="196" t="s">
        <v>770</v>
      </c>
      <c r="D61" s="164">
        <f>'Кронштейны Strut (2)'!D61*1.8*(1-$E$2/100)</f>
        <v>1618.2</v>
      </c>
    </row>
    <row r="62" spans="1:4">
      <c r="A62" s="221" t="s">
        <v>845</v>
      </c>
      <c r="B62" s="222">
        <v>800</v>
      </c>
      <c r="C62" s="196" t="s">
        <v>770</v>
      </c>
      <c r="D62" s="164">
        <f>'Кронштейны Strut (2)'!D62*1.8*(1-$E$2/100)</f>
        <v>1717.2</v>
      </c>
    </row>
    <row r="63" spans="1:4">
      <c r="A63" s="221" t="s">
        <v>846</v>
      </c>
      <c r="B63" s="222">
        <v>900</v>
      </c>
      <c r="C63" s="196" t="s">
        <v>770</v>
      </c>
      <c r="D63" s="164">
        <f>'Кронштейны Strut (2)'!D63*1.8*(1-$E$2/100)</f>
        <v>1875.6000000000001</v>
      </c>
    </row>
    <row r="64" spans="1:4">
      <c r="A64" s="221" t="s">
        <v>847</v>
      </c>
      <c r="B64" s="222">
        <v>950</v>
      </c>
      <c r="C64" s="196" t="s">
        <v>770</v>
      </c>
      <c r="D64" s="164">
        <f>'Кронштейны Strut (2)'!D64*1.8*(1-$E$2/100)</f>
        <v>1971</v>
      </c>
    </row>
    <row r="65" spans="1:4" ht="14.95" customHeight="1">
      <c r="A65" s="215" t="s">
        <v>848</v>
      </c>
      <c r="B65" s="216"/>
      <c r="C65" s="216"/>
      <c r="D65" s="216"/>
    </row>
    <row r="66" spans="1:4">
      <c r="A66" s="221" t="s">
        <v>849</v>
      </c>
      <c r="B66" s="219">
        <v>100</v>
      </c>
      <c r="C66" s="197">
        <v>90.018598320000024</v>
      </c>
      <c r="D66" s="164">
        <f>'Кронштейны Strut (2)'!D66*1.8*(1-$E$2/100)</f>
        <v>198</v>
      </c>
    </row>
    <row r="67" spans="1:4">
      <c r="A67" s="221" t="s">
        <v>850</v>
      </c>
      <c r="B67" s="222">
        <v>150</v>
      </c>
      <c r="C67" s="197">
        <v>102.63679776000001</v>
      </c>
      <c r="D67" s="164">
        <f>'Кронштейны Strut (2)'!D67*1.8*(1-$E$2/100)</f>
        <v>243</v>
      </c>
    </row>
    <row r="68" spans="1:4">
      <c r="A68" s="221" t="s">
        <v>851</v>
      </c>
      <c r="B68" s="222">
        <v>200</v>
      </c>
      <c r="C68" s="197">
        <v>117.54921528000001</v>
      </c>
      <c r="D68" s="164">
        <f>'Кронштейны Strut (2)'!D68*1.8*(1-$E$2/100)</f>
        <v>253.8</v>
      </c>
    </row>
    <row r="69" spans="1:4">
      <c r="A69" s="221" t="s">
        <v>852</v>
      </c>
      <c r="B69" s="222">
        <v>300</v>
      </c>
      <c r="C69" s="197">
        <v>145.07983224000003</v>
      </c>
      <c r="D69" s="164">
        <f>'Кронштейны Strut (2)'!D69*1.8*(1-$E$2/100)</f>
        <v>311.40000000000003</v>
      </c>
    </row>
    <row r="70" spans="1:4">
      <c r="A70" s="221" t="s">
        <v>853</v>
      </c>
      <c r="B70" s="222">
        <v>300</v>
      </c>
      <c r="C70" s="197">
        <v>155.28910269600001</v>
      </c>
      <c r="D70" s="164">
        <f>'Кронштейны Strut (2)'!D70*1.8*(1-$E$2/100)</f>
        <v>338.40000000000003</v>
      </c>
    </row>
    <row r="71" spans="1:4" ht="14.95" customHeight="1">
      <c r="A71" s="215" t="s">
        <v>893</v>
      </c>
      <c r="B71" s="216"/>
      <c r="C71" s="216"/>
      <c r="D71" s="215"/>
    </row>
    <row r="72" spans="1:4">
      <c r="A72" s="218" t="s">
        <v>854</v>
      </c>
      <c r="B72" s="220">
        <v>60</v>
      </c>
      <c r="C72" s="196" t="s">
        <v>770</v>
      </c>
      <c r="D72" s="164">
        <f>'Кронштейны Strut (2)'!D72*1.8*(1-$E$2/100)</f>
        <v>271.8</v>
      </c>
    </row>
    <row r="73" spans="1:4">
      <c r="A73" s="218" t="s">
        <v>855</v>
      </c>
      <c r="B73" s="220">
        <v>85</v>
      </c>
      <c r="C73" s="196" t="s">
        <v>770</v>
      </c>
      <c r="D73" s="164">
        <f>'Кронштейны Strut (2)'!D73*1.8*(1-$E$2/100)</f>
        <v>311.40000000000003</v>
      </c>
    </row>
    <row r="74" spans="1:4">
      <c r="A74" s="218" t="s">
        <v>856</v>
      </c>
      <c r="B74" s="219">
        <v>110</v>
      </c>
      <c r="C74" s="196" t="s">
        <v>770</v>
      </c>
      <c r="D74" s="164">
        <f>'Кронштейны Strut (2)'!D74*1.8*(1-$E$2/100)</f>
        <v>342</v>
      </c>
    </row>
    <row r="75" spans="1:4">
      <c r="A75" s="218" t="s">
        <v>857</v>
      </c>
      <c r="B75" s="222">
        <v>160</v>
      </c>
      <c r="C75" s="196" t="s">
        <v>770</v>
      </c>
      <c r="D75" s="164">
        <f>'Кронштейны Strut (2)'!D75*1.8*(1-$E$2/100)</f>
        <v>428.40000000000003</v>
      </c>
    </row>
    <row r="76" spans="1:4">
      <c r="A76" s="218" t="s">
        <v>857</v>
      </c>
      <c r="B76" s="222">
        <v>166</v>
      </c>
      <c r="C76" s="196" t="s">
        <v>770</v>
      </c>
      <c r="D76" s="164">
        <f>'Кронштейны Strut (2)'!D76*1.8*(1-$E$2/100)</f>
        <v>583.20000000000005</v>
      </c>
    </row>
    <row r="77" spans="1:4">
      <c r="A77" s="218" t="s">
        <v>858</v>
      </c>
      <c r="B77" s="222">
        <v>235</v>
      </c>
      <c r="C77" s="196" t="s">
        <v>770</v>
      </c>
      <c r="D77" s="164">
        <f>'Кронштейны Strut (2)'!D77*1.8*(1-$E$2/100)</f>
        <v>513</v>
      </c>
    </row>
    <row r="78" spans="1:4">
      <c r="A78" s="218" t="s">
        <v>858</v>
      </c>
      <c r="B78" s="222">
        <v>241</v>
      </c>
      <c r="C78" s="196" t="s">
        <v>770</v>
      </c>
      <c r="D78" s="164">
        <f>'Кронштейны Strut (2)'!D78*1.8*(1-$E$2/100)</f>
        <v>705.6</v>
      </c>
    </row>
    <row r="79" spans="1:4">
      <c r="A79" s="218" t="s">
        <v>859</v>
      </c>
      <c r="B79" s="222">
        <v>308</v>
      </c>
      <c r="C79" s="196" t="s">
        <v>770</v>
      </c>
      <c r="D79" s="164">
        <f>'Кронштейны Strut (2)'!D79*1.8*(1-$E$2/100)</f>
        <v>631.80000000000007</v>
      </c>
    </row>
    <row r="80" spans="1:4">
      <c r="A80" s="218" t="s">
        <v>859</v>
      </c>
      <c r="B80" s="222">
        <v>316</v>
      </c>
      <c r="C80" s="196" t="s">
        <v>770</v>
      </c>
      <c r="D80" s="164">
        <f>'Кронштейны Strut (2)'!D80*1.8*(1-$E$2/100)</f>
        <v>847.80000000000007</v>
      </c>
    </row>
    <row r="81" spans="1:4">
      <c r="A81" s="218" t="s">
        <v>860</v>
      </c>
      <c r="B81" s="222"/>
      <c r="C81" s="196" t="s">
        <v>770</v>
      </c>
      <c r="D81" s="164">
        <f>'Кронштейны Strut (2)'!D81*1.8*(1-$E$2/100)</f>
        <v>1018.8000000000001</v>
      </c>
    </row>
    <row r="82" spans="1:4" ht="14.95" customHeight="1">
      <c r="A82" s="215" t="s">
        <v>861</v>
      </c>
      <c r="B82" s="216"/>
      <c r="C82" s="216"/>
      <c r="D82" s="216"/>
    </row>
    <row r="83" spans="1:4">
      <c r="A83" s="218" t="s">
        <v>862</v>
      </c>
      <c r="B83" s="222">
        <v>60</v>
      </c>
      <c r="C83" s="196" t="s">
        <v>770</v>
      </c>
      <c r="D83" s="164">
        <f>'Кронштейны Strut (2)'!D83*1.8*(1-$E$2/100)</f>
        <v>228.6</v>
      </c>
    </row>
    <row r="84" spans="1:4">
      <c r="A84" s="218" t="s">
        <v>863</v>
      </c>
      <c r="B84" s="220">
        <v>85</v>
      </c>
      <c r="C84" s="196" t="s">
        <v>770</v>
      </c>
      <c r="D84" s="164">
        <f>'Кронштейны Strut (2)'!D84*1.8*(1-$E$2/100)</f>
        <v>252</v>
      </c>
    </row>
    <row r="85" spans="1:4">
      <c r="A85" s="218" t="s">
        <v>864</v>
      </c>
      <c r="B85" s="220">
        <v>110</v>
      </c>
      <c r="C85" s="196" t="s">
        <v>770</v>
      </c>
      <c r="D85" s="164">
        <f>'Кронштейны Strut (2)'!D85*1.8*(1-$E$2/100)</f>
        <v>266.40000000000003</v>
      </c>
    </row>
    <row r="86" spans="1:4">
      <c r="A86" s="218" t="s">
        <v>865</v>
      </c>
      <c r="B86" s="219">
        <v>160</v>
      </c>
      <c r="C86" s="196" t="s">
        <v>770</v>
      </c>
      <c r="D86" s="164">
        <f>'Кронштейны Strut (2)'!D86*1.8*(1-$E$2/100)</f>
        <v>300.60000000000002</v>
      </c>
    </row>
    <row r="87" spans="1:4">
      <c r="A87" s="218" t="s">
        <v>865</v>
      </c>
      <c r="B87" s="222">
        <v>166</v>
      </c>
      <c r="C87" s="196" t="s">
        <v>770</v>
      </c>
      <c r="D87" s="164">
        <f>'Кронштейны Strut (2)'!D87*1.8*(1-$E$2/100)</f>
        <v>372.6</v>
      </c>
    </row>
    <row r="88" spans="1:4">
      <c r="A88" s="218" t="s">
        <v>866</v>
      </c>
      <c r="B88" s="222">
        <v>235</v>
      </c>
      <c r="C88" s="196" t="s">
        <v>770</v>
      </c>
      <c r="D88" s="164">
        <f>'Кронштейны Strut (2)'!D88*1.8*(1-$E$2/100)</f>
        <v>367.2</v>
      </c>
    </row>
    <row r="89" spans="1:4">
      <c r="A89" s="218" t="s">
        <v>866</v>
      </c>
      <c r="B89" s="222">
        <v>241</v>
      </c>
      <c r="C89" s="196" t="s">
        <v>770</v>
      </c>
      <c r="D89" s="164">
        <f>'Кронштейны Strut (2)'!D89*1.8*(1-$E$2/100)</f>
        <v>439.2</v>
      </c>
    </row>
    <row r="90" spans="1:4" ht="14.95" customHeight="1">
      <c r="A90" s="215" t="s">
        <v>867</v>
      </c>
      <c r="B90" s="216"/>
      <c r="C90" s="216"/>
      <c r="D90" s="216"/>
    </row>
    <row r="91" spans="1:4">
      <c r="A91" s="223" t="s">
        <v>868</v>
      </c>
      <c r="B91" s="197">
        <v>100</v>
      </c>
      <c r="C91" s="197">
        <v>72.317368421052635</v>
      </c>
      <c r="D91" s="164">
        <f>'Кронштейны Strut (2)'!D91*1.8*(1-$E$2/100)</f>
        <v>126</v>
      </c>
    </row>
    <row r="92" spans="1:4">
      <c r="A92" s="224" t="s">
        <v>869</v>
      </c>
      <c r="B92" s="225">
        <v>150</v>
      </c>
      <c r="C92" s="197">
        <v>80.792526315789488</v>
      </c>
      <c r="D92" s="164">
        <f>'Кронштейны Strut (2)'!D92*1.8*(1-$E$2/100)</f>
        <v>145.80000000000001</v>
      </c>
    </row>
    <row r="93" spans="1:4">
      <c r="A93" s="224" t="s">
        <v>870</v>
      </c>
      <c r="B93" s="225">
        <v>200</v>
      </c>
      <c r="C93" s="197">
        <v>89.546210526315804</v>
      </c>
      <c r="D93" s="164">
        <f>'Кронштейны Strut (2)'!D93*1.8*(1-$E$2/100)</f>
        <v>163.80000000000001</v>
      </c>
    </row>
    <row r="94" spans="1:4">
      <c r="A94" s="224" t="s">
        <v>871</v>
      </c>
      <c r="B94" s="225">
        <v>225</v>
      </c>
      <c r="C94" s="197">
        <v>93.783789473684209</v>
      </c>
      <c r="D94" s="164">
        <f>'Кронштейны Strut (2)'!D94*1.8*(1-$E$2/100)</f>
        <v>174.6</v>
      </c>
    </row>
    <row r="95" spans="1:4">
      <c r="A95" s="224" t="s">
        <v>872</v>
      </c>
      <c r="B95" s="225">
        <v>300</v>
      </c>
      <c r="C95" s="197">
        <v>106.79494736842105</v>
      </c>
      <c r="D95" s="164">
        <f>'Кронштейны Strut (2)'!D95*1.8*(1-$E$2/100)</f>
        <v>201.6</v>
      </c>
    </row>
    <row r="96" spans="1:4">
      <c r="A96" s="224" t="s">
        <v>873</v>
      </c>
      <c r="B96" s="225">
        <v>400</v>
      </c>
      <c r="C96" s="197">
        <v>124.02378947368422</v>
      </c>
      <c r="D96" s="164">
        <f>'Кронштейны Strut (2)'!D96*1.8*(1-$E$2/100)</f>
        <v>239.4</v>
      </c>
    </row>
    <row r="97" spans="1:4">
      <c r="A97" s="224" t="s">
        <v>874</v>
      </c>
      <c r="B97" s="225">
        <v>500</v>
      </c>
      <c r="C97" s="197">
        <v>141.23273684210528</v>
      </c>
      <c r="D97" s="164">
        <f>'Кронштейны Strut (2)'!D97*1.8*(1-$E$2/100)</f>
        <v>277.2</v>
      </c>
    </row>
    <row r="98" spans="1:4">
      <c r="A98" s="224" t="s">
        <v>875</v>
      </c>
      <c r="B98" s="225">
        <v>600</v>
      </c>
      <c r="C98" s="197">
        <v>158.44168421052638</v>
      </c>
      <c r="D98" s="164">
        <f>'Кронштейны Strut (2)'!D98*1.8*(1-$E$2/100)</f>
        <v>315</v>
      </c>
    </row>
    <row r="99" spans="1:4" ht="14.95" customHeight="1">
      <c r="A99" s="215" t="s">
        <v>876</v>
      </c>
      <c r="B99" s="216"/>
      <c r="C99" s="216"/>
      <c r="D99" s="215"/>
    </row>
    <row r="100" spans="1:4">
      <c r="A100" s="224" t="s">
        <v>877</v>
      </c>
      <c r="B100" s="225">
        <v>80</v>
      </c>
      <c r="C100" s="197" t="s">
        <v>770</v>
      </c>
      <c r="D100" s="164">
        <f>'Кронштейны Strut (2)'!D100*1.8*(1-$E$2/100)</f>
        <v>351</v>
      </c>
    </row>
    <row r="101" spans="1:4">
      <c r="A101" s="218" t="s">
        <v>878</v>
      </c>
      <c r="B101" s="220">
        <v>80</v>
      </c>
      <c r="C101" s="197" t="s">
        <v>770</v>
      </c>
      <c r="D101" s="164">
        <f>'Кронштейны Strut (2)'!D101*1.8*(1-$E$2/100)</f>
        <v>264.60000000000002</v>
      </c>
    </row>
    <row r="102" spans="1:4">
      <c r="A102" s="218" t="s">
        <v>879</v>
      </c>
      <c r="B102" s="220">
        <v>80</v>
      </c>
      <c r="C102" s="197" t="s">
        <v>770</v>
      </c>
      <c r="D102" s="164">
        <f>'Кронштейны Strut (2)'!D102*1.8*(1-$E$2/100)</f>
        <v>219.6</v>
      </c>
    </row>
    <row r="103" spans="1:4">
      <c r="A103" s="218" t="s">
        <v>880</v>
      </c>
      <c r="B103" s="220">
        <v>80</v>
      </c>
      <c r="C103" s="197">
        <v>64.080947368421064</v>
      </c>
      <c r="D103" s="164">
        <f>'Кронштейны Strut (2)'!D103*1.8*(1-$E$2/100)</f>
        <v>100.8</v>
      </c>
    </row>
    <row r="104" spans="1:4" ht="14.95" customHeight="1">
      <c r="A104" s="215" t="s">
        <v>881</v>
      </c>
      <c r="B104" s="216"/>
      <c r="C104" s="216"/>
      <c r="D104" s="216"/>
    </row>
    <row r="105" spans="1:4">
      <c r="A105" s="218" t="s">
        <v>882</v>
      </c>
      <c r="B105" s="220">
        <v>200</v>
      </c>
      <c r="C105" s="196" t="s">
        <v>770</v>
      </c>
      <c r="D105" s="164">
        <f>'Кронштейны Strut (2)'!D105*1.8*(1-$E$2/100)</f>
        <v>444.6</v>
      </c>
    </row>
    <row r="106" spans="1:4">
      <c r="A106" s="218" t="s">
        <v>883</v>
      </c>
      <c r="B106" s="220">
        <v>300</v>
      </c>
      <c r="C106" s="196" t="s">
        <v>770</v>
      </c>
      <c r="D106" s="164">
        <f>'Кронштейны Strut (2)'!D106*1.8*(1-$E$2/100)</f>
        <v>570.6</v>
      </c>
    </row>
    <row r="107" spans="1:4">
      <c r="A107" s="218" t="s">
        <v>884</v>
      </c>
      <c r="B107" s="220">
        <v>400</v>
      </c>
      <c r="C107" s="196" t="s">
        <v>770</v>
      </c>
      <c r="D107" s="164">
        <f>'Кронштейны Strut (2)'!D107*1.8*(1-$E$2/100)</f>
        <v>696.6</v>
      </c>
    </row>
    <row r="108" spans="1:4">
      <c r="A108" s="218" t="s">
        <v>885</v>
      </c>
      <c r="B108" s="220">
        <v>500</v>
      </c>
      <c r="C108" s="196" t="s">
        <v>770</v>
      </c>
      <c r="D108" s="164">
        <f>'Кронштейны Strut (2)'!D108*1.8*(1-$E$2/100)</f>
        <v>822.6</v>
      </c>
    </row>
    <row r="109" spans="1:4" ht="14.95" customHeight="1">
      <c r="A109" s="215" t="s">
        <v>886</v>
      </c>
      <c r="B109" s="216"/>
      <c r="C109" s="216"/>
      <c r="D109" s="215"/>
    </row>
    <row r="110" spans="1:4">
      <c r="A110" s="218" t="s">
        <v>887</v>
      </c>
      <c r="B110" s="220">
        <v>200</v>
      </c>
      <c r="C110" s="196" t="s">
        <v>770</v>
      </c>
      <c r="D110" s="164">
        <f>'Кронштейны Strut (2)'!D110*1.8*(1-$E$2/100)</f>
        <v>478.8</v>
      </c>
    </row>
    <row r="111" spans="1:4">
      <c r="A111" s="218" t="s">
        <v>888</v>
      </c>
      <c r="B111" s="220">
        <v>300</v>
      </c>
      <c r="C111" s="196" t="s">
        <v>770</v>
      </c>
      <c r="D111" s="164">
        <f>'Кронштейны Strut (2)'!D111*1.8*(1-$E$2/100)</f>
        <v>567</v>
      </c>
    </row>
    <row r="112" spans="1:4">
      <c r="A112" s="218" t="s">
        <v>889</v>
      </c>
      <c r="B112" s="220">
        <v>400</v>
      </c>
      <c r="C112" s="196" t="s">
        <v>770</v>
      </c>
      <c r="D112" s="164">
        <f>'Кронштейны Strut (2)'!D112*1.8*(1-$E$2/100)</f>
        <v>660.6</v>
      </c>
    </row>
    <row r="113" spans="1:4">
      <c r="A113" s="218" t="s">
        <v>890</v>
      </c>
      <c r="B113" s="220">
        <v>500</v>
      </c>
      <c r="C113" s="196" t="s">
        <v>770</v>
      </c>
      <c r="D113" s="164">
        <f>'Кронштейны Strut (2)'!D113*1.8*(1-$E$2/100)</f>
        <v>747</v>
      </c>
    </row>
  </sheetData>
  <mergeCells count="6">
    <mergeCell ref="C1:C2"/>
    <mergeCell ref="D1:D2"/>
    <mergeCell ref="A1:A2"/>
    <mergeCell ref="B1:B2"/>
    <mergeCell ref="E1:F1"/>
    <mergeCell ref="E2:F2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27"/>
  <dimension ref="A1:G113"/>
  <sheetViews>
    <sheetView workbookViewId="0">
      <pane xSplit="4" ySplit="2" topLeftCell="E90" activePane="bottomRight" state="frozen"/>
      <selection pane="topRight" activeCell="E1" sqref="E1"/>
      <selection pane="bottomLeft" activeCell="A3" sqref="A3"/>
      <selection pane="bottomRight" activeCell="D114" sqref="D114"/>
    </sheetView>
  </sheetViews>
  <sheetFormatPr defaultRowHeight="14.3"/>
  <cols>
    <col min="1" max="1" width="19.375" style="69" bestFit="1" customWidth="1"/>
    <col min="2" max="2" width="8.875" style="69" bestFit="1" customWidth="1"/>
    <col min="3" max="3" width="6.625" style="69" bestFit="1" customWidth="1"/>
    <col min="4" max="4" width="11.125" style="69" customWidth="1"/>
  </cols>
  <sheetData>
    <row r="1" spans="1:7" ht="14.95" customHeight="1">
      <c r="A1" s="1034" t="s">
        <v>2</v>
      </c>
      <c r="B1" s="1035" t="s">
        <v>894</v>
      </c>
      <c r="C1" s="1030" t="s">
        <v>1186</v>
      </c>
      <c r="D1" s="1031" t="s">
        <v>1185</v>
      </c>
    </row>
    <row r="2" spans="1:7" ht="20.25" customHeight="1">
      <c r="A2" s="1034"/>
      <c r="B2" s="1035"/>
      <c r="C2" s="1030"/>
      <c r="D2" s="1031"/>
    </row>
    <row r="3" spans="1:7" ht="14.95" customHeight="1">
      <c r="A3" s="1018" t="s">
        <v>787</v>
      </c>
      <c r="B3" s="1018"/>
      <c r="C3" s="1018"/>
      <c r="D3" s="1018"/>
    </row>
    <row r="4" spans="1:7">
      <c r="A4" s="162" t="s">
        <v>788</v>
      </c>
      <c r="B4" s="163">
        <v>100</v>
      </c>
      <c r="C4" s="196" t="s">
        <v>770</v>
      </c>
      <c r="D4" s="164">
        <f>114*'Цены на металл '!C13</f>
        <v>114</v>
      </c>
      <c r="F4" s="242">
        <v>105.29063904586502</v>
      </c>
      <c r="G4" s="3">
        <f>F4*1.08</f>
        <v>113.71389016953422</v>
      </c>
    </row>
    <row r="5" spans="1:7">
      <c r="A5" s="162" t="s">
        <v>790</v>
      </c>
      <c r="B5" s="165">
        <v>150</v>
      </c>
      <c r="C5" s="196" t="s">
        <v>770</v>
      </c>
      <c r="D5" s="164">
        <f>130*'Цены на металл '!C13</f>
        <v>130</v>
      </c>
      <c r="F5" s="243">
        <v>120.3954555687975</v>
      </c>
      <c r="G5" s="3">
        <f t="shared" ref="G5:G68" si="0">F5*1.08</f>
        <v>130.0270920143013</v>
      </c>
    </row>
    <row r="6" spans="1:7">
      <c r="A6" s="162" t="s">
        <v>791</v>
      </c>
      <c r="B6" s="165">
        <v>200</v>
      </c>
      <c r="C6" s="196" t="s">
        <v>770</v>
      </c>
      <c r="D6" s="164">
        <f>150*'Цены на металл '!C13</f>
        <v>150</v>
      </c>
      <c r="F6" s="243">
        <v>138.59609209173001</v>
      </c>
      <c r="G6" s="3">
        <f t="shared" si="0"/>
        <v>149.68377945906843</v>
      </c>
    </row>
    <row r="7" spans="1:7">
      <c r="A7" s="162" t="s">
        <v>792</v>
      </c>
      <c r="B7" s="165">
        <v>250</v>
      </c>
      <c r="C7" s="196" t="s">
        <v>770</v>
      </c>
      <c r="D7" s="164">
        <f>166*'Цены на металл '!C13</f>
        <v>166</v>
      </c>
      <c r="F7" s="243">
        <v>153.28813261466254</v>
      </c>
      <c r="G7" s="3">
        <f t="shared" si="0"/>
        <v>165.55118322383555</v>
      </c>
    </row>
    <row r="8" spans="1:7">
      <c r="A8" s="162" t="s">
        <v>793</v>
      </c>
      <c r="B8" s="165">
        <v>300</v>
      </c>
      <c r="C8" s="196" t="s">
        <v>770</v>
      </c>
      <c r="D8" s="164">
        <f>186*'Цены на металл '!C13</f>
        <v>186</v>
      </c>
      <c r="F8" s="243">
        <v>172.00473913759501</v>
      </c>
      <c r="G8" s="3">
        <f t="shared" si="0"/>
        <v>185.76511826860263</v>
      </c>
    </row>
    <row r="9" spans="1:7">
      <c r="A9" s="162" t="s">
        <v>794</v>
      </c>
      <c r="B9" s="165">
        <v>350</v>
      </c>
      <c r="C9" s="196" t="s">
        <v>770</v>
      </c>
      <c r="D9" s="164">
        <f>201*'Цены на металл '!C13</f>
        <v>201</v>
      </c>
      <c r="F9" s="243">
        <v>186.1808096605275</v>
      </c>
      <c r="G9" s="3">
        <f t="shared" si="0"/>
        <v>201.07527443336971</v>
      </c>
    </row>
    <row r="10" spans="1:7">
      <c r="A10" s="162" t="s">
        <v>795</v>
      </c>
      <c r="B10" s="165">
        <v>400</v>
      </c>
      <c r="C10" s="196" t="s">
        <v>770</v>
      </c>
      <c r="D10" s="164">
        <f>201*'Цены на металл '!C13</f>
        <v>201</v>
      </c>
      <c r="F10" s="243">
        <v>186.40357718346004</v>
      </c>
      <c r="G10" s="3">
        <f t="shared" si="0"/>
        <v>201.31586335813685</v>
      </c>
    </row>
    <row r="11" spans="1:7">
      <c r="A11" s="162" t="s">
        <v>796</v>
      </c>
      <c r="B11" s="165">
        <v>450</v>
      </c>
      <c r="C11" s="196" t="s">
        <v>770</v>
      </c>
      <c r="D11" s="164">
        <f>215*'Цены на металл '!C13</f>
        <v>215</v>
      </c>
      <c r="F11" s="243">
        <v>199.17178670639248</v>
      </c>
      <c r="G11" s="3">
        <f t="shared" si="0"/>
        <v>215.10552964290389</v>
      </c>
    </row>
    <row r="12" spans="1:7">
      <c r="A12" s="162" t="s">
        <v>797</v>
      </c>
      <c r="B12" s="165">
        <v>500</v>
      </c>
      <c r="C12" s="196" t="s">
        <v>770</v>
      </c>
      <c r="D12" s="164">
        <f>234*'Цены на металл '!C13</f>
        <v>234</v>
      </c>
      <c r="F12" s="243">
        <v>216.68692022932504</v>
      </c>
      <c r="G12" s="3">
        <f t="shared" si="0"/>
        <v>234.02187384767106</v>
      </c>
    </row>
    <row r="13" spans="1:7">
      <c r="A13" s="162" t="s">
        <v>798</v>
      </c>
      <c r="B13" s="165">
        <v>600</v>
      </c>
      <c r="C13" s="196" t="s">
        <v>770</v>
      </c>
      <c r="D13" s="164">
        <f>267*'Цены на металл '!C13</f>
        <v>267</v>
      </c>
      <c r="F13" s="243">
        <v>246.97026327519004</v>
      </c>
      <c r="G13" s="3">
        <f t="shared" si="0"/>
        <v>266.72788433720524</v>
      </c>
    </row>
    <row r="14" spans="1:7">
      <c r="A14" s="162" t="s">
        <v>799</v>
      </c>
      <c r="B14" s="165">
        <v>700</v>
      </c>
      <c r="C14" s="196" t="s">
        <v>770</v>
      </c>
      <c r="D14" s="164">
        <f>299*'Цены на металл '!C13</f>
        <v>299</v>
      </c>
      <c r="F14" s="243">
        <v>277.25360632105503</v>
      </c>
      <c r="G14" s="3">
        <f t="shared" si="0"/>
        <v>299.43389482673945</v>
      </c>
    </row>
    <row r="15" spans="1:7">
      <c r="A15" s="162" t="s">
        <v>800</v>
      </c>
      <c r="B15" s="165">
        <v>750</v>
      </c>
      <c r="C15" s="196" t="s">
        <v>770</v>
      </c>
      <c r="D15" s="164">
        <f>312*'Цены на металл '!C13</f>
        <v>312</v>
      </c>
      <c r="F15" s="243">
        <v>289.00461784398755</v>
      </c>
      <c r="G15" s="3">
        <f t="shared" si="0"/>
        <v>312.1249872715066</v>
      </c>
    </row>
    <row r="16" spans="1:7">
      <c r="A16" s="162" t="s">
        <v>801</v>
      </c>
      <c r="B16" s="165">
        <v>800</v>
      </c>
      <c r="C16" s="196" t="s">
        <v>770</v>
      </c>
      <c r="D16" s="164">
        <f>332*'Цены на металл '!C13</f>
        <v>332</v>
      </c>
      <c r="F16" s="243">
        <v>307.62171586692006</v>
      </c>
      <c r="G16" s="3">
        <f t="shared" si="0"/>
        <v>332.23145313627367</v>
      </c>
    </row>
    <row r="17" spans="1:7">
      <c r="A17" s="162" t="s">
        <v>802</v>
      </c>
      <c r="B17" s="165">
        <v>900</v>
      </c>
      <c r="C17" s="196" t="s">
        <v>770</v>
      </c>
      <c r="D17" s="164">
        <f>365*'Цены на металл '!C13</f>
        <v>365</v>
      </c>
      <c r="F17" s="244">
        <v>337.90505891278497</v>
      </c>
      <c r="G17" s="3">
        <f t="shared" si="0"/>
        <v>364.93746362580777</v>
      </c>
    </row>
    <row r="18" spans="1:7" ht="14.95" customHeight="1">
      <c r="A18" s="1018" t="s">
        <v>891</v>
      </c>
      <c r="B18" s="1018"/>
      <c r="C18" s="1018"/>
      <c r="D18" s="1018"/>
      <c r="G18" s="3">
        <f t="shared" si="0"/>
        <v>0</v>
      </c>
    </row>
    <row r="19" spans="1:7">
      <c r="A19" s="162" t="s">
        <v>803</v>
      </c>
      <c r="B19" s="163">
        <v>100</v>
      </c>
      <c r="C19" s="196" t="s">
        <v>770</v>
      </c>
      <c r="D19" s="166">
        <f>162*'Цены на металл '!C13</f>
        <v>162</v>
      </c>
      <c r="F19" s="245">
        <v>150.36636972825002</v>
      </c>
      <c r="G19" s="3">
        <f t="shared" si="0"/>
        <v>162.39567930651003</v>
      </c>
    </row>
    <row r="20" spans="1:7">
      <c r="A20" s="162" t="s">
        <v>804</v>
      </c>
      <c r="B20" s="165">
        <v>150</v>
      </c>
      <c r="C20" s="196" t="s">
        <v>770</v>
      </c>
      <c r="D20" s="166">
        <f>201*'Цены на металл '!C13</f>
        <v>201</v>
      </c>
      <c r="F20" s="243">
        <v>186.48255259237504</v>
      </c>
      <c r="G20" s="3">
        <f t="shared" si="0"/>
        <v>201.40115679976506</v>
      </c>
    </row>
    <row r="21" spans="1:7">
      <c r="A21" s="162" t="s">
        <v>805</v>
      </c>
      <c r="B21" s="165">
        <v>200</v>
      </c>
      <c r="C21" s="196" t="s">
        <v>770</v>
      </c>
      <c r="D21" s="166">
        <f>228*'Цены на металл '!C13</f>
        <v>228</v>
      </c>
      <c r="F21" s="243">
        <v>211.33953295650002</v>
      </c>
      <c r="G21" s="3">
        <f t="shared" si="0"/>
        <v>228.24669559302004</v>
      </c>
    </row>
    <row r="22" spans="1:7">
      <c r="A22" s="162" t="s">
        <v>806</v>
      </c>
      <c r="B22" s="165">
        <v>250</v>
      </c>
      <c r="C22" s="196" t="s">
        <v>770</v>
      </c>
      <c r="D22" s="166">
        <f>265*'Цены на металл '!C13</f>
        <v>265</v>
      </c>
      <c r="F22" s="243">
        <v>245.67561932062506</v>
      </c>
      <c r="G22" s="3">
        <f t="shared" si="0"/>
        <v>265.32966886627509</v>
      </c>
    </row>
    <row r="23" spans="1:7">
      <c r="A23" s="162" t="s">
        <v>807</v>
      </c>
      <c r="B23" s="165">
        <v>300</v>
      </c>
      <c r="C23" s="196" t="s">
        <v>770</v>
      </c>
      <c r="D23" s="166">
        <f>302*'Цены на металл '!C13</f>
        <v>302</v>
      </c>
      <c r="F23" s="243">
        <v>279.91956818475006</v>
      </c>
      <c r="G23" s="3">
        <f t="shared" si="0"/>
        <v>302.31313363953007</v>
      </c>
    </row>
    <row r="24" spans="1:7">
      <c r="A24" s="162" t="s">
        <v>808</v>
      </c>
      <c r="B24" s="165">
        <v>350</v>
      </c>
      <c r="C24" s="196" t="s">
        <v>770</v>
      </c>
      <c r="D24" s="166">
        <f>339*'Цены на металл '!C13</f>
        <v>339</v>
      </c>
      <c r="F24" s="243">
        <v>314.16351704887501</v>
      </c>
      <c r="G24" s="3">
        <f t="shared" si="0"/>
        <v>339.29659841278504</v>
      </c>
    </row>
    <row r="25" spans="1:7">
      <c r="A25" s="162" t="s">
        <v>809</v>
      </c>
      <c r="B25" s="165">
        <v>400</v>
      </c>
      <c r="C25" s="196" t="s">
        <v>770</v>
      </c>
      <c r="D25" s="166">
        <f>376*'Цены на металл '!C13</f>
        <v>376</v>
      </c>
      <c r="F25" s="243">
        <v>348.49960341300005</v>
      </c>
      <c r="G25" s="3">
        <f t="shared" si="0"/>
        <v>376.37957168604009</v>
      </c>
    </row>
    <row r="26" spans="1:7">
      <c r="A26" s="162" t="s">
        <v>810</v>
      </c>
      <c r="B26" s="165">
        <v>450</v>
      </c>
      <c r="C26" s="196" t="s">
        <v>770</v>
      </c>
      <c r="D26" s="166">
        <f>413*'Цены на металл '!C13</f>
        <v>413</v>
      </c>
      <c r="F26" s="243">
        <v>382.74355227712505</v>
      </c>
      <c r="G26" s="3">
        <f t="shared" si="0"/>
        <v>413.36303645929507</v>
      </c>
    </row>
    <row r="27" spans="1:7">
      <c r="A27" s="162" t="s">
        <v>811</v>
      </c>
      <c r="B27" s="165">
        <v>500</v>
      </c>
      <c r="C27" s="196" t="s">
        <v>770</v>
      </c>
      <c r="D27" s="166">
        <f>450*'Цены на металл '!C13</f>
        <v>450</v>
      </c>
      <c r="F27" s="243">
        <v>417.07963864125009</v>
      </c>
      <c r="G27" s="3">
        <f t="shared" si="0"/>
        <v>450.44600973255012</v>
      </c>
    </row>
    <row r="28" spans="1:7">
      <c r="A28" s="162" t="s">
        <v>812</v>
      </c>
      <c r="B28" s="165">
        <v>600</v>
      </c>
      <c r="C28" s="196" t="s">
        <v>770</v>
      </c>
      <c r="D28" s="166">
        <f>525*'Цены на металл '!C13</f>
        <v>525</v>
      </c>
      <c r="F28" s="243">
        <v>485.65967386950001</v>
      </c>
      <c r="G28" s="3">
        <f t="shared" si="0"/>
        <v>524.51244777906004</v>
      </c>
    </row>
    <row r="29" spans="1:7">
      <c r="A29" s="162" t="s">
        <v>813</v>
      </c>
      <c r="B29" s="165">
        <v>700</v>
      </c>
      <c r="C29" s="196" t="s">
        <v>770</v>
      </c>
      <c r="D29" s="166">
        <f>598*'Цены на металл '!C13</f>
        <v>598</v>
      </c>
      <c r="F29" s="243">
        <v>554.1475715977499</v>
      </c>
      <c r="G29" s="3">
        <f t="shared" si="0"/>
        <v>598.47937732556989</v>
      </c>
    </row>
    <row r="30" spans="1:7">
      <c r="A30" s="162" t="s">
        <v>814</v>
      </c>
      <c r="B30" s="165">
        <v>750</v>
      </c>
      <c r="C30" s="196" t="s">
        <v>770</v>
      </c>
      <c r="D30" s="166">
        <f>636*'Цены на металл '!C13</f>
        <v>636</v>
      </c>
      <c r="F30" s="243">
        <v>588.48365796187511</v>
      </c>
      <c r="G30" s="3">
        <f t="shared" si="0"/>
        <v>635.56235059882511</v>
      </c>
    </row>
    <row r="31" spans="1:7">
      <c r="A31" s="162" t="s">
        <v>815</v>
      </c>
      <c r="B31" s="165">
        <v>800</v>
      </c>
      <c r="C31" s="196" t="s">
        <v>770</v>
      </c>
      <c r="D31" s="166">
        <f>673*'Цены на металл '!C13</f>
        <v>673</v>
      </c>
      <c r="F31" s="243">
        <v>622.72760682600006</v>
      </c>
      <c r="G31" s="3">
        <f t="shared" si="0"/>
        <v>672.54581537208014</v>
      </c>
    </row>
    <row r="32" spans="1:7">
      <c r="A32" s="162" t="s">
        <v>816</v>
      </c>
      <c r="B32" s="165">
        <v>900</v>
      </c>
      <c r="C32" s="196" t="s">
        <v>770</v>
      </c>
      <c r="D32" s="166">
        <f>747*'Цены на металл '!C13</f>
        <v>747</v>
      </c>
      <c r="F32" s="243">
        <v>691.30764205424998</v>
      </c>
      <c r="G32" s="3">
        <f t="shared" si="0"/>
        <v>746.61225341859006</v>
      </c>
    </row>
    <row r="33" spans="1:7">
      <c r="A33" s="162" t="s">
        <v>817</v>
      </c>
      <c r="B33" s="165">
        <v>950</v>
      </c>
      <c r="C33" s="196" t="s">
        <v>770</v>
      </c>
      <c r="D33" s="166">
        <f>784*'Цены на металл '!C13</f>
        <v>784</v>
      </c>
      <c r="F33" s="244">
        <v>725.64372841837508</v>
      </c>
      <c r="G33" s="3">
        <f t="shared" si="0"/>
        <v>783.69522669184516</v>
      </c>
    </row>
    <row r="34" spans="1:7" ht="14.95" customHeight="1">
      <c r="A34" s="1018" t="s">
        <v>892</v>
      </c>
      <c r="B34" s="1018"/>
      <c r="C34" s="1018"/>
      <c r="D34" s="1018"/>
      <c r="G34" s="3">
        <f t="shared" si="0"/>
        <v>0</v>
      </c>
    </row>
    <row r="35" spans="1:7">
      <c r="A35" s="162" t="s">
        <v>818</v>
      </c>
      <c r="B35" s="163">
        <v>100</v>
      </c>
      <c r="C35" s="196" t="s">
        <v>770</v>
      </c>
      <c r="D35" s="166">
        <f>128*'Цены на металл '!C13</f>
        <v>128</v>
      </c>
      <c r="F35" s="245">
        <v>118.889795127285</v>
      </c>
      <c r="G35" s="3">
        <f t="shared" si="0"/>
        <v>128.4009787374678</v>
      </c>
    </row>
    <row r="36" spans="1:7">
      <c r="A36" s="162" t="s">
        <v>819</v>
      </c>
      <c r="B36" s="165">
        <v>150</v>
      </c>
      <c r="C36" s="196" t="s">
        <v>770</v>
      </c>
      <c r="D36" s="166">
        <f>155*'Цены на металл '!C13</f>
        <v>155</v>
      </c>
      <c r="F36" s="243">
        <v>143.32244269092752</v>
      </c>
      <c r="G36" s="3">
        <f t="shared" si="0"/>
        <v>154.78823810620173</v>
      </c>
    </row>
    <row r="37" spans="1:7">
      <c r="A37" s="162" t="s">
        <v>820</v>
      </c>
      <c r="B37" s="165">
        <v>200</v>
      </c>
      <c r="C37" s="196" t="s">
        <v>770</v>
      </c>
      <c r="D37" s="166">
        <f>181*'Цены на металл '!C13</f>
        <v>181</v>
      </c>
      <c r="F37" s="243">
        <v>167.75509025457001</v>
      </c>
      <c r="G37" s="3">
        <f t="shared" si="0"/>
        <v>181.17549747493561</v>
      </c>
    </row>
    <row r="38" spans="1:7">
      <c r="A38" s="162" t="s">
        <v>821</v>
      </c>
      <c r="B38" s="165">
        <v>250</v>
      </c>
      <c r="C38" s="196" t="s">
        <v>770</v>
      </c>
      <c r="D38" s="166">
        <f>208*'Цены на металл '!C13</f>
        <v>208</v>
      </c>
      <c r="F38" s="243">
        <v>192.18773781821255</v>
      </c>
      <c r="G38" s="3">
        <f t="shared" si="0"/>
        <v>207.56275684366958</v>
      </c>
    </row>
    <row r="39" spans="1:7">
      <c r="A39" s="162" t="s">
        <v>822</v>
      </c>
      <c r="B39" s="165">
        <v>300</v>
      </c>
      <c r="C39" s="196" t="s">
        <v>770</v>
      </c>
      <c r="D39" s="166">
        <f>233*'Цены на металл '!C13</f>
        <v>233</v>
      </c>
      <c r="F39" s="243">
        <v>215.58844538185502</v>
      </c>
      <c r="G39" s="3">
        <f t="shared" si="0"/>
        <v>232.83552101240343</v>
      </c>
    </row>
    <row r="40" spans="1:7">
      <c r="A40" s="162" t="s">
        <v>823</v>
      </c>
      <c r="B40" s="165">
        <v>350</v>
      </c>
      <c r="C40" s="196" t="s">
        <v>770</v>
      </c>
      <c r="D40" s="166">
        <f>236*'Цены на металл '!C13</f>
        <v>236</v>
      </c>
      <c r="F40" s="243">
        <v>218.27664294549751</v>
      </c>
      <c r="G40" s="3">
        <f t="shared" si="0"/>
        <v>235.73877438113732</v>
      </c>
    </row>
    <row r="41" spans="1:7">
      <c r="A41" s="162" t="s">
        <v>824</v>
      </c>
      <c r="B41" s="165">
        <v>400</v>
      </c>
      <c r="C41" s="196" t="s">
        <v>770</v>
      </c>
      <c r="D41" s="166">
        <f>260*'Цены на металл '!C13</f>
        <v>260</v>
      </c>
      <c r="F41" s="243">
        <v>240.49799050914004</v>
      </c>
      <c r="G41" s="3">
        <f t="shared" si="0"/>
        <v>259.73782974987125</v>
      </c>
    </row>
    <row r="42" spans="1:7">
      <c r="A42" s="162" t="s">
        <v>825</v>
      </c>
      <c r="B42" s="165">
        <v>450</v>
      </c>
      <c r="C42" s="196" t="s">
        <v>770</v>
      </c>
      <c r="D42" s="166">
        <f>284*'Цены на металл '!C13</f>
        <v>284</v>
      </c>
      <c r="F42" s="243">
        <v>262.71933807278253</v>
      </c>
      <c r="G42" s="3">
        <f t="shared" si="0"/>
        <v>283.73688511860513</v>
      </c>
    </row>
    <row r="43" spans="1:7">
      <c r="A43" s="162" t="s">
        <v>826</v>
      </c>
      <c r="B43" s="165">
        <v>500</v>
      </c>
      <c r="C43" s="196" t="s">
        <v>770</v>
      </c>
      <c r="D43" s="166">
        <f>307*'Цены на металл '!C13</f>
        <v>307</v>
      </c>
      <c r="F43" s="243">
        <v>284.09302063642502</v>
      </c>
      <c r="G43" s="3">
        <f t="shared" si="0"/>
        <v>306.82046228733907</v>
      </c>
    </row>
    <row r="44" spans="1:7">
      <c r="A44" s="162" t="s">
        <v>827</v>
      </c>
      <c r="B44" s="165">
        <v>600</v>
      </c>
      <c r="C44" s="196" t="s">
        <v>770</v>
      </c>
      <c r="D44" s="166">
        <f>355*'Цены на металл '!C13</f>
        <v>355</v>
      </c>
      <c r="F44" s="243">
        <v>328.53571576371007</v>
      </c>
      <c r="G44" s="3">
        <f t="shared" si="0"/>
        <v>354.81857302480688</v>
      </c>
    </row>
    <row r="45" spans="1:7">
      <c r="A45" s="162" t="s">
        <v>828</v>
      </c>
      <c r="B45" s="165">
        <v>700</v>
      </c>
      <c r="C45" s="196" t="s">
        <v>770</v>
      </c>
      <c r="D45" s="166">
        <f>402*'Цены на металл '!C13</f>
        <v>402</v>
      </c>
      <c r="F45" s="243">
        <v>372.13074589099506</v>
      </c>
      <c r="G45" s="3">
        <f t="shared" si="0"/>
        <v>401.9012055622747</v>
      </c>
    </row>
    <row r="46" spans="1:7">
      <c r="A46" s="162" t="s">
        <v>829</v>
      </c>
      <c r="B46" s="165">
        <v>750</v>
      </c>
      <c r="C46" s="196" t="s">
        <v>770</v>
      </c>
      <c r="D46" s="166">
        <f>426*'Цены на металл '!C13</f>
        <v>426</v>
      </c>
      <c r="F46" s="243">
        <v>394.35209345463755</v>
      </c>
      <c r="G46" s="3">
        <f t="shared" si="0"/>
        <v>425.90026093100857</v>
      </c>
    </row>
    <row r="47" spans="1:7">
      <c r="A47" s="162" t="s">
        <v>830</v>
      </c>
      <c r="B47" s="165">
        <v>800</v>
      </c>
      <c r="C47" s="196" t="s">
        <v>770</v>
      </c>
      <c r="D47" s="166">
        <f>450*'Цены на металл '!C13</f>
        <v>450</v>
      </c>
      <c r="F47" s="243">
        <v>416.57344101828011</v>
      </c>
      <c r="G47" s="3">
        <f t="shared" si="0"/>
        <v>449.89931629974257</v>
      </c>
    </row>
    <row r="48" spans="1:7">
      <c r="A48" s="162" t="s">
        <v>831</v>
      </c>
      <c r="B48" s="165">
        <v>900</v>
      </c>
      <c r="C48" s="196" t="s">
        <v>770</v>
      </c>
      <c r="D48" s="166">
        <f>497*'Цены на металл '!C13</f>
        <v>497</v>
      </c>
      <c r="F48" s="244">
        <v>460.16847114556504</v>
      </c>
      <c r="G48" s="3">
        <f t="shared" si="0"/>
        <v>496.98194883721027</v>
      </c>
    </row>
    <row r="49" spans="1:7" ht="14.95" customHeight="1">
      <c r="A49" s="1018" t="s">
        <v>832</v>
      </c>
      <c r="B49" s="1018"/>
      <c r="C49" s="1018"/>
      <c r="D49" s="1018"/>
      <c r="G49" s="3">
        <f t="shared" si="0"/>
        <v>0</v>
      </c>
    </row>
    <row r="50" spans="1:7">
      <c r="A50" s="162" t="s">
        <v>833</v>
      </c>
      <c r="B50" s="163">
        <v>100</v>
      </c>
      <c r="C50" s="196" t="s">
        <v>770</v>
      </c>
      <c r="D50" s="166">
        <f>197*'Цены на металл '!C13</f>
        <v>197</v>
      </c>
      <c r="F50" s="245">
        <v>182.50944077925001</v>
      </c>
      <c r="G50" s="3">
        <f t="shared" si="0"/>
        <v>197.11019604159003</v>
      </c>
    </row>
    <row r="51" spans="1:7">
      <c r="A51" s="162" t="s">
        <v>834</v>
      </c>
      <c r="B51" s="165">
        <v>150</v>
      </c>
      <c r="C51" s="196" t="s">
        <v>770</v>
      </c>
      <c r="D51" s="166">
        <f>251*'Цены на металл '!C13</f>
        <v>251</v>
      </c>
      <c r="F51" s="243">
        <v>232.39003616887501</v>
      </c>
      <c r="G51" s="3">
        <f t="shared" si="0"/>
        <v>250.98123906238504</v>
      </c>
    </row>
    <row r="52" spans="1:7">
      <c r="A52" s="162" t="s">
        <v>835</v>
      </c>
      <c r="B52" s="165">
        <v>200</v>
      </c>
      <c r="C52" s="196" t="s">
        <v>770</v>
      </c>
      <c r="D52" s="166">
        <f>306*'Цены на металл '!C13</f>
        <v>306</v>
      </c>
      <c r="F52" s="243">
        <v>283.11829655849999</v>
      </c>
      <c r="G52" s="3">
        <f t="shared" si="0"/>
        <v>305.76776028318</v>
      </c>
    </row>
    <row r="53" spans="1:7">
      <c r="A53" s="162" t="s">
        <v>836</v>
      </c>
      <c r="B53" s="165">
        <v>250</v>
      </c>
      <c r="C53" s="196" t="s">
        <v>770</v>
      </c>
      <c r="D53" s="166">
        <f>358*'Цены на металл '!C13</f>
        <v>358</v>
      </c>
      <c r="F53" s="243">
        <v>331.30356194812509</v>
      </c>
      <c r="G53" s="3">
        <f t="shared" si="0"/>
        <v>357.80784690397513</v>
      </c>
    </row>
    <row r="54" spans="1:7">
      <c r="A54" s="162" t="s">
        <v>837</v>
      </c>
      <c r="B54" s="165">
        <v>300</v>
      </c>
      <c r="C54" s="196" t="s">
        <v>770</v>
      </c>
      <c r="D54" s="166">
        <f>414*'Цены на металл '!C13</f>
        <v>414</v>
      </c>
      <c r="F54" s="243">
        <v>382.87948733774999</v>
      </c>
      <c r="G54" s="3">
        <f t="shared" si="0"/>
        <v>413.50984632477002</v>
      </c>
    </row>
    <row r="55" spans="1:7">
      <c r="A55" s="162" t="s">
        <v>838</v>
      </c>
      <c r="B55" s="165">
        <v>350</v>
      </c>
      <c r="C55" s="196" t="s">
        <v>770</v>
      </c>
      <c r="D55" s="166">
        <f>467*'Цены на металл '!C13</f>
        <v>467</v>
      </c>
      <c r="F55" s="243">
        <v>432.76008272737511</v>
      </c>
      <c r="G55" s="3">
        <f t="shared" si="0"/>
        <v>467.38088934556515</v>
      </c>
    </row>
    <row r="56" spans="1:7">
      <c r="A56" s="162" t="s">
        <v>839</v>
      </c>
      <c r="B56" s="165">
        <v>400</v>
      </c>
      <c r="C56" s="196" t="s">
        <v>770</v>
      </c>
      <c r="D56" s="166">
        <f>521*'Цены на металл '!C13</f>
        <v>521</v>
      </c>
      <c r="F56" s="243">
        <v>482.64067811700005</v>
      </c>
      <c r="G56" s="3">
        <f t="shared" si="0"/>
        <v>521.25193236636005</v>
      </c>
    </row>
    <row r="57" spans="1:7">
      <c r="A57" s="162" t="s">
        <v>840</v>
      </c>
      <c r="B57" s="165">
        <v>450</v>
      </c>
      <c r="C57" s="196" t="s">
        <v>770</v>
      </c>
      <c r="D57" s="166">
        <f>575*'Цены на металл '!C13</f>
        <v>575</v>
      </c>
      <c r="F57" s="243">
        <v>532.52127350662511</v>
      </c>
      <c r="G57" s="3">
        <f t="shared" si="0"/>
        <v>575.12297538715518</v>
      </c>
    </row>
    <row r="58" spans="1:7">
      <c r="A58" s="162" t="s">
        <v>841</v>
      </c>
      <c r="B58" s="165">
        <v>500</v>
      </c>
      <c r="C58" s="196" t="s">
        <v>770</v>
      </c>
      <c r="D58" s="166">
        <f>630*'Цены на металл '!C13</f>
        <v>630</v>
      </c>
      <c r="F58" s="243">
        <v>583.24953389625011</v>
      </c>
      <c r="G58" s="3">
        <f t="shared" si="0"/>
        <v>629.90949660795013</v>
      </c>
    </row>
    <row r="59" spans="1:7">
      <c r="A59" s="162" t="s">
        <v>842</v>
      </c>
      <c r="B59" s="165">
        <v>600</v>
      </c>
      <c r="C59" s="196" t="s">
        <v>770</v>
      </c>
      <c r="D59" s="166">
        <f>738*'Цены на металл '!C13</f>
        <v>738</v>
      </c>
      <c r="F59" s="243">
        <v>683.0107246755</v>
      </c>
      <c r="G59" s="3">
        <f t="shared" si="0"/>
        <v>737.65158264954005</v>
      </c>
    </row>
    <row r="60" spans="1:7">
      <c r="A60" s="162" t="s">
        <v>843</v>
      </c>
      <c r="B60" s="165">
        <v>700</v>
      </c>
      <c r="C60" s="196" t="s">
        <v>770</v>
      </c>
      <c r="D60" s="166">
        <f>845*'Цены на металл '!C13</f>
        <v>845</v>
      </c>
      <c r="F60" s="243">
        <v>782.77191545475</v>
      </c>
      <c r="G60" s="3">
        <f t="shared" si="0"/>
        <v>845.39366869113007</v>
      </c>
    </row>
    <row r="61" spans="1:7">
      <c r="A61" s="162" t="s">
        <v>844</v>
      </c>
      <c r="B61" s="165">
        <v>750</v>
      </c>
      <c r="C61" s="196" t="s">
        <v>770</v>
      </c>
      <c r="D61" s="166">
        <f>899*'Цены на металл '!C13</f>
        <v>899</v>
      </c>
      <c r="F61" s="243">
        <v>832.65251084437523</v>
      </c>
      <c r="G61" s="3">
        <f t="shared" si="0"/>
        <v>899.26471171192532</v>
      </c>
    </row>
    <row r="62" spans="1:7">
      <c r="A62" s="162" t="s">
        <v>845</v>
      </c>
      <c r="B62" s="165">
        <v>800</v>
      </c>
      <c r="C62" s="196" t="s">
        <v>770</v>
      </c>
      <c r="D62" s="166">
        <f>954*'Цены на металл '!C13</f>
        <v>954</v>
      </c>
      <c r="F62" s="243">
        <v>883.38077123400001</v>
      </c>
      <c r="G62" s="3">
        <f t="shared" si="0"/>
        <v>954.05123293272004</v>
      </c>
    </row>
    <row r="63" spans="1:7">
      <c r="A63" s="162" t="s">
        <v>846</v>
      </c>
      <c r="B63" s="165">
        <v>900</v>
      </c>
      <c r="C63" s="196" t="s">
        <v>770</v>
      </c>
      <c r="D63" s="166">
        <f>1042*'Цены на металл '!C13</f>
        <v>1042</v>
      </c>
      <c r="F63" s="243">
        <v>964.60389701325016</v>
      </c>
      <c r="G63" s="3">
        <f t="shared" si="0"/>
        <v>1041.7722087743102</v>
      </c>
    </row>
    <row r="64" spans="1:7">
      <c r="A64" s="162" t="s">
        <v>847</v>
      </c>
      <c r="B64" s="165">
        <v>950</v>
      </c>
      <c r="C64" s="196" t="s">
        <v>770</v>
      </c>
      <c r="D64" s="166">
        <f>1095*'Цены на металл '!C13</f>
        <v>1095</v>
      </c>
      <c r="F64" s="244">
        <v>1013.5631174028753</v>
      </c>
      <c r="G64" s="3">
        <f t="shared" si="0"/>
        <v>1094.6481667951055</v>
      </c>
    </row>
    <row r="65" spans="1:7" ht="14.95" customHeight="1">
      <c r="A65" s="1018" t="s">
        <v>848</v>
      </c>
      <c r="B65" s="1018"/>
      <c r="C65" s="1018"/>
      <c r="D65" s="1018"/>
      <c r="G65" s="3">
        <f t="shared" si="0"/>
        <v>0</v>
      </c>
    </row>
    <row r="66" spans="1:7">
      <c r="A66" s="162" t="s">
        <v>849</v>
      </c>
      <c r="B66" s="163">
        <v>100</v>
      </c>
      <c r="C66" s="197">
        <v>90.018598320000024</v>
      </c>
      <c r="D66" s="167">
        <f>110*'Цены на металл '!C13</f>
        <v>110</v>
      </c>
      <c r="F66" s="245">
        <v>101.75668124076002</v>
      </c>
      <c r="G66" s="3">
        <f t="shared" si="0"/>
        <v>109.89721574002083</v>
      </c>
    </row>
    <row r="67" spans="1:7">
      <c r="A67" s="162" t="s">
        <v>850</v>
      </c>
      <c r="B67" s="165">
        <v>150</v>
      </c>
      <c r="C67" s="197">
        <v>102.63679776000001</v>
      </c>
      <c r="D67" s="167">
        <f>135*'Цены на металл '!C13</f>
        <v>135</v>
      </c>
      <c r="F67" s="243">
        <v>124.71244098768001</v>
      </c>
      <c r="G67" s="3">
        <f t="shared" si="0"/>
        <v>134.68943626669443</v>
      </c>
    </row>
    <row r="68" spans="1:7">
      <c r="A68" s="162" t="s">
        <v>851</v>
      </c>
      <c r="B68" s="165">
        <v>200</v>
      </c>
      <c r="C68" s="197">
        <v>117.54921528000001</v>
      </c>
      <c r="D68" s="167">
        <f>141*'Цены на металл '!C13</f>
        <v>141</v>
      </c>
      <c r="F68" s="243">
        <v>130.83462523404</v>
      </c>
      <c r="G68" s="3">
        <f t="shared" si="0"/>
        <v>141.3013952527632</v>
      </c>
    </row>
    <row r="69" spans="1:7">
      <c r="A69" s="162" t="s">
        <v>852</v>
      </c>
      <c r="B69" s="165">
        <v>300</v>
      </c>
      <c r="C69" s="197">
        <v>145.07983224000003</v>
      </c>
      <c r="D69" s="167">
        <f>173*'Цены на металл '!C13</f>
        <v>173</v>
      </c>
      <c r="F69" s="243">
        <v>160.13369922732005</v>
      </c>
      <c r="G69" s="3">
        <f t="shared" ref="G69:G113" si="1">F69*1.08</f>
        <v>172.94439516550565</v>
      </c>
    </row>
    <row r="70" spans="1:7">
      <c r="A70" s="162" t="s">
        <v>853</v>
      </c>
      <c r="B70" s="165">
        <v>300</v>
      </c>
      <c r="C70" s="197">
        <v>155.28910269600001</v>
      </c>
      <c r="D70" s="167">
        <f>188*'Цены на металл '!C13</f>
        <v>188</v>
      </c>
      <c r="F70" s="244">
        <v>174.11486274982801</v>
      </c>
      <c r="G70" s="3">
        <f t="shared" si="1"/>
        <v>188.04405176981425</v>
      </c>
    </row>
    <row r="71" spans="1:7" ht="14.95" customHeight="1">
      <c r="A71" s="1018" t="s">
        <v>893</v>
      </c>
      <c r="B71" s="1018"/>
      <c r="C71" s="1018"/>
      <c r="D71" s="1018"/>
      <c r="G71" s="3">
        <f t="shared" si="1"/>
        <v>0</v>
      </c>
    </row>
    <row r="72" spans="1:7">
      <c r="A72" s="168" t="s">
        <v>854</v>
      </c>
      <c r="B72" s="169">
        <v>60</v>
      </c>
      <c r="C72" s="196" t="s">
        <v>770</v>
      </c>
      <c r="D72" s="167">
        <f>151*'Цены на металл '!C13</f>
        <v>151</v>
      </c>
      <c r="F72" s="245">
        <v>140.1093258157895</v>
      </c>
      <c r="G72" s="3">
        <f t="shared" si="1"/>
        <v>151.31807188105267</v>
      </c>
    </row>
    <row r="73" spans="1:7">
      <c r="A73" s="168" t="s">
        <v>855</v>
      </c>
      <c r="B73" s="169">
        <v>85</v>
      </c>
      <c r="C73" s="196" t="s">
        <v>770</v>
      </c>
      <c r="D73" s="167">
        <f>173*'Цены на металл '!C13</f>
        <v>173</v>
      </c>
      <c r="F73" s="243">
        <v>159.95102328947371</v>
      </c>
      <c r="G73" s="3">
        <f t="shared" si="1"/>
        <v>172.7471051526316</v>
      </c>
    </row>
    <row r="74" spans="1:7">
      <c r="A74" s="168" t="s">
        <v>856</v>
      </c>
      <c r="B74" s="163">
        <v>110</v>
      </c>
      <c r="C74" s="196" t="s">
        <v>770</v>
      </c>
      <c r="D74" s="167">
        <f>190*'Цены на металл '!C13</f>
        <v>190</v>
      </c>
      <c r="F74" s="243">
        <v>176.33391134210527</v>
      </c>
      <c r="G74" s="3">
        <f t="shared" si="1"/>
        <v>190.4406242494737</v>
      </c>
    </row>
    <row r="75" spans="1:7">
      <c r="A75" s="168" t="s">
        <v>857</v>
      </c>
      <c r="B75" s="165">
        <v>160</v>
      </c>
      <c r="C75" s="196" t="s">
        <v>770</v>
      </c>
      <c r="D75" s="167">
        <f>238*'Цены на металл '!C13</f>
        <v>238</v>
      </c>
      <c r="F75" s="243">
        <v>220.30483594736845</v>
      </c>
      <c r="G75" s="3">
        <f t="shared" si="1"/>
        <v>237.92922282315794</v>
      </c>
    </row>
    <row r="76" spans="1:7">
      <c r="A76" s="168" t="s">
        <v>857</v>
      </c>
      <c r="B76" s="165">
        <v>166</v>
      </c>
      <c r="C76" s="196" t="s">
        <v>770</v>
      </c>
      <c r="D76" s="167">
        <f>324*'Цены на металл '!C13</f>
        <v>324</v>
      </c>
      <c r="F76" s="243">
        <v>300.28645776315796</v>
      </c>
      <c r="G76" s="3">
        <f t="shared" si="1"/>
        <v>324.30937438421063</v>
      </c>
    </row>
    <row r="77" spans="1:7">
      <c r="A77" s="168" t="s">
        <v>858</v>
      </c>
      <c r="B77" s="165">
        <v>235</v>
      </c>
      <c r="C77" s="196" t="s">
        <v>770</v>
      </c>
      <c r="D77" s="167">
        <f>285*'Цены на металл '!C13</f>
        <v>285</v>
      </c>
      <c r="F77" s="243">
        <v>263.66474344736844</v>
      </c>
      <c r="G77" s="3">
        <f t="shared" si="1"/>
        <v>284.75792292315793</v>
      </c>
    </row>
    <row r="78" spans="1:7">
      <c r="A78" s="168" t="s">
        <v>858</v>
      </c>
      <c r="B78" s="165">
        <v>241</v>
      </c>
      <c r="C78" s="196" t="s">
        <v>770</v>
      </c>
      <c r="D78" s="167">
        <f>392*'Цены на металл '!C13</f>
        <v>392</v>
      </c>
      <c r="F78" s="243">
        <v>362.80915484210527</v>
      </c>
      <c r="G78" s="3">
        <f t="shared" si="1"/>
        <v>391.8338872294737</v>
      </c>
    </row>
    <row r="79" spans="1:7">
      <c r="A79" s="168" t="s">
        <v>859</v>
      </c>
      <c r="B79" s="165">
        <v>308</v>
      </c>
      <c r="C79" s="196" t="s">
        <v>770</v>
      </c>
      <c r="D79" s="167">
        <f>351*'Цены на металл '!C13</f>
        <v>351</v>
      </c>
      <c r="F79" s="243">
        <v>325.08967878947368</v>
      </c>
      <c r="G79" s="3">
        <f t="shared" si="1"/>
        <v>351.09685309263159</v>
      </c>
    </row>
    <row r="80" spans="1:7">
      <c r="A80" s="168" t="s">
        <v>859</v>
      </c>
      <c r="B80" s="165">
        <v>316</v>
      </c>
      <c r="C80" s="196" t="s">
        <v>770</v>
      </c>
      <c r="D80" s="167">
        <f>471*'Цены на металл '!C13</f>
        <v>471</v>
      </c>
      <c r="F80" s="243">
        <v>436.56124713157902</v>
      </c>
      <c r="G80" s="3">
        <f t="shared" si="1"/>
        <v>471.48614690210536</v>
      </c>
    </row>
    <row r="81" spans="1:7">
      <c r="A81" s="168" t="s">
        <v>860</v>
      </c>
      <c r="B81" s="165"/>
      <c r="C81" s="196" t="s">
        <v>770</v>
      </c>
      <c r="D81" s="167">
        <f>566*'Цены на металл '!C13</f>
        <v>566</v>
      </c>
      <c r="F81" s="244">
        <v>524.32153697368415</v>
      </c>
      <c r="G81" s="3">
        <f t="shared" si="1"/>
        <v>566.26725993157891</v>
      </c>
    </row>
    <row r="82" spans="1:7" ht="14.95" customHeight="1">
      <c r="A82" s="1018" t="s">
        <v>861</v>
      </c>
      <c r="B82" s="1018"/>
      <c r="C82" s="1018"/>
      <c r="D82" s="1018"/>
      <c r="G82" s="3">
        <f t="shared" si="1"/>
        <v>0</v>
      </c>
    </row>
    <row r="83" spans="1:7">
      <c r="A83" s="168" t="s">
        <v>862</v>
      </c>
      <c r="B83" s="165">
        <v>60</v>
      </c>
      <c r="C83" s="196" t="s">
        <v>770</v>
      </c>
      <c r="D83" s="167">
        <f>127*'Цены на металл '!C13</f>
        <v>127</v>
      </c>
      <c r="F83" s="245">
        <v>117.16042855263159</v>
      </c>
      <c r="G83" s="3">
        <f t="shared" si="1"/>
        <v>126.53326283684213</v>
      </c>
    </row>
    <row r="84" spans="1:7">
      <c r="A84" s="168" t="s">
        <v>863</v>
      </c>
      <c r="B84" s="169">
        <v>85</v>
      </c>
      <c r="C84" s="196" t="s">
        <v>770</v>
      </c>
      <c r="D84" s="167">
        <f>140*'Цены на металл '!C13</f>
        <v>140</v>
      </c>
      <c r="F84" s="243">
        <v>129.91982352631578</v>
      </c>
      <c r="G84" s="3">
        <f t="shared" si="1"/>
        <v>140.31340940842105</v>
      </c>
    </row>
    <row r="85" spans="1:7">
      <c r="A85" s="168" t="s">
        <v>864</v>
      </c>
      <c r="B85" s="169">
        <v>110</v>
      </c>
      <c r="C85" s="196" t="s">
        <v>770</v>
      </c>
      <c r="D85" s="167">
        <f>148*'Цены на металл '!C13</f>
        <v>148</v>
      </c>
      <c r="F85" s="243">
        <v>137.21944121052633</v>
      </c>
      <c r="G85" s="3">
        <f t="shared" si="1"/>
        <v>148.19699650736845</v>
      </c>
    </row>
    <row r="86" spans="1:7">
      <c r="A86" s="168" t="s">
        <v>865</v>
      </c>
      <c r="B86" s="163">
        <v>160</v>
      </c>
      <c r="C86" s="196" t="s">
        <v>770</v>
      </c>
      <c r="D86" s="167">
        <f>167*'Цены на металл '!C13</f>
        <v>167</v>
      </c>
      <c r="F86" s="243">
        <v>154.60743623684215</v>
      </c>
      <c r="G86" s="3">
        <f t="shared" si="1"/>
        <v>166.97603113578953</v>
      </c>
    </row>
    <row r="87" spans="1:7">
      <c r="A87" s="168" t="s">
        <v>865</v>
      </c>
      <c r="B87" s="165">
        <v>166</v>
      </c>
      <c r="C87" s="196" t="s">
        <v>770</v>
      </c>
      <c r="D87" s="167">
        <f>207*'Цены на металл '!C13</f>
        <v>207</v>
      </c>
      <c r="F87" s="243">
        <v>191.54642684210532</v>
      </c>
      <c r="G87" s="3">
        <f t="shared" si="1"/>
        <v>206.87014098947375</v>
      </c>
    </row>
    <row r="88" spans="1:7">
      <c r="A88" s="168" t="s">
        <v>866</v>
      </c>
      <c r="B88" s="165">
        <v>235</v>
      </c>
      <c r="C88" s="196" t="s">
        <v>770</v>
      </c>
      <c r="D88" s="167">
        <f>204*'Цены на металл '!C13</f>
        <v>204</v>
      </c>
      <c r="F88" s="243">
        <v>189.0901380789474</v>
      </c>
      <c r="G88" s="3">
        <f t="shared" si="1"/>
        <v>204.21734912526321</v>
      </c>
    </row>
    <row r="89" spans="1:7">
      <c r="A89" s="168" t="s">
        <v>866</v>
      </c>
      <c r="B89" s="165">
        <v>241</v>
      </c>
      <c r="C89" s="196" t="s">
        <v>770</v>
      </c>
      <c r="D89" s="167">
        <f>244*'Цены на металл '!C13</f>
        <v>244</v>
      </c>
      <c r="F89" s="244">
        <v>225.68967473684214</v>
      </c>
      <c r="G89" s="3">
        <f t="shared" si="1"/>
        <v>243.74484871578952</v>
      </c>
    </row>
    <row r="90" spans="1:7" ht="14.95" customHeight="1">
      <c r="A90" s="1018" t="s">
        <v>867</v>
      </c>
      <c r="B90" s="1018"/>
      <c r="C90" s="1018"/>
      <c r="D90" s="1018"/>
      <c r="G90" s="3">
        <f t="shared" si="1"/>
        <v>0</v>
      </c>
    </row>
    <row r="91" spans="1:7">
      <c r="A91" s="170" t="s">
        <v>868</v>
      </c>
      <c r="B91" s="171">
        <v>100</v>
      </c>
      <c r="C91" s="197">
        <v>72.317368421052635</v>
      </c>
      <c r="D91" s="167">
        <f>70*'Цены на металл '!C13</f>
        <v>70</v>
      </c>
      <c r="F91" s="245">
        <v>65.096081289473688</v>
      </c>
      <c r="G91" s="3">
        <f t="shared" si="1"/>
        <v>70.303767792631589</v>
      </c>
    </row>
    <row r="92" spans="1:7">
      <c r="A92" s="172" t="s">
        <v>869</v>
      </c>
      <c r="B92" s="173">
        <v>150</v>
      </c>
      <c r="C92" s="197">
        <v>80.792526315789488</v>
      </c>
      <c r="D92" s="167">
        <f>81*'Цены на металл '!C13</f>
        <v>81</v>
      </c>
      <c r="F92" s="243">
        <v>74.803300342105288</v>
      </c>
      <c r="G92" s="3">
        <f t="shared" si="1"/>
        <v>80.787564369473714</v>
      </c>
    </row>
    <row r="93" spans="1:7">
      <c r="A93" s="172" t="s">
        <v>870</v>
      </c>
      <c r="B93" s="173">
        <v>200</v>
      </c>
      <c r="C93" s="197">
        <v>89.546210526315804</v>
      </c>
      <c r="D93" s="167">
        <f>91*'Цены на металл '!C13</f>
        <v>91</v>
      </c>
      <c r="F93" s="243">
        <v>84.549766736842116</v>
      </c>
      <c r="G93" s="3">
        <f t="shared" si="1"/>
        <v>91.313748075789491</v>
      </c>
    </row>
    <row r="94" spans="1:7">
      <c r="A94" s="172" t="s">
        <v>871</v>
      </c>
      <c r="B94" s="173">
        <v>225</v>
      </c>
      <c r="C94" s="197">
        <v>93.783789473684209</v>
      </c>
      <c r="D94" s="167">
        <f>97*'Цены на металл '!C13</f>
        <v>97</v>
      </c>
      <c r="F94" s="243">
        <v>89.403376263157895</v>
      </c>
      <c r="G94" s="3">
        <f t="shared" si="1"/>
        <v>96.555646364210531</v>
      </c>
    </row>
    <row r="95" spans="1:7">
      <c r="A95" s="172" t="s">
        <v>872</v>
      </c>
      <c r="B95" s="173">
        <v>300</v>
      </c>
      <c r="C95" s="197">
        <v>106.79494736842105</v>
      </c>
      <c r="D95" s="167">
        <f>112*'Цены на металл '!C13</f>
        <v>112</v>
      </c>
      <c r="F95" s="243">
        <v>104.01599581578948</v>
      </c>
      <c r="G95" s="3">
        <f t="shared" si="1"/>
        <v>112.33727548105264</v>
      </c>
    </row>
    <row r="96" spans="1:7">
      <c r="A96" s="172" t="s">
        <v>873</v>
      </c>
      <c r="B96" s="173">
        <v>400</v>
      </c>
      <c r="C96" s="197">
        <v>124.02378947368422</v>
      </c>
      <c r="D96" s="167">
        <f>133*'Цены на металл '!C13</f>
        <v>133</v>
      </c>
      <c r="F96" s="243">
        <v>123.46968126315791</v>
      </c>
      <c r="G96" s="3">
        <f t="shared" si="1"/>
        <v>133.34725576421056</v>
      </c>
    </row>
    <row r="97" spans="1:7">
      <c r="A97" s="172" t="s">
        <v>874</v>
      </c>
      <c r="B97" s="173">
        <v>500</v>
      </c>
      <c r="C97" s="197">
        <v>141.23273684210528</v>
      </c>
      <c r="D97" s="167">
        <f>154*'Цены на металл '!C13</f>
        <v>154</v>
      </c>
      <c r="F97" s="243">
        <v>142.91082307894737</v>
      </c>
      <c r="G97" s="3">
        <f t="shared" si="1"/>
        <v>154.34368892526317</v>
      </c>
    </row>
    <row r="98" spans="1:7">
      <c r="A98" s="172" t="s">
        <v>875</v>
      </c>
      <c r="B98" s="173">
        <v>600</v>
      </c>
      <c r="C98" s="197">
        <v>158.44168421052638</v>
      </c>
      <c r="D98" s="167">
        <f>175*'Цены на металл '!C13</f>
        <v>175</v>
      </c>
      <c r="F98" s="244">
        <v>162.21560139473689</v>
      </c>
      <c r="G98" s="3">
        <f t="shared" si="1"/>
        <v>175.19284950631587</v>
      </c>
    </row>
    <row r="99" spans="1:7" ht="14.95" customHeight="1">
      <c r="A99" s="1018" t="s">
        <v>876</v>
      </c>
      <c r="B99" s="1018"/>
      <c r="C99" s="1018"/>
      <c r="D99" s="1018"/>
      <c r="G99" s="3">
        <f t="shared" si="1"/>
        <v>0</v>
      </c>
    </row>
    <row r="100" spans="1:7">
      <c r="A100" s="172" t="s">
        <v>877</v>
      </c>
      <c r="B100" s="173">
        <v>80</v>
      </c>
      <c r="C100" s="197" t="s">
        <v>770</v>
      </c>
      <c r="D100" s="167">
        <f>195*'Цены на металл '!C13</f>
        <v>195</v>
      </c>
      <c r="F100" s="245">
        <v>180.58949999999999</v>
      </c>
      <c r="G100" s="3">
        <f t="shared" si="1"/>
        <v>195.03666000000001</v>
      </c>
    </row>
    <row r="101" spans="1:7">
      <c r="A101" s="168" t="s">
        <v>878</v>
      </c>
      <c r="B101" s="169">
        <v>80</v>
      </c>
      <c r="C101" s="197" t="s">
        <v>770</v>
      </c>
      <c r="D101" s="167">
        <f>147*'Цены на металл '!C13</f>
        <v>147</v>
      </c>
      <c r="F101" s="243">
        <v>136.1239425</v>
      </c>
      <c r="G101" s="3">
        <f t="shared" si="1"/>
        <v>147.0138579</v>
      </c>
    </row>
    <row r="102" spans="1:7">
      <c r="A102" s="168" t="s">
        <v>879</v>
      </c>
      <c r="B102" s="169">
        <v>80</v>
      </c>
      <c r="C102" s="197" t="s">
        <v>770</v>
      </c>
      <c r="D102" s="167">
        <f>122*'Цены на металл '!C13</f>
        <v>122</v>
      </c>
      <c r="F102" s="243">
        <v>112.71733200000004</v>
      </c>
      <c r="G102" s="3">
        <f t="shared" si="1"/>
        <v>121.73471856000005</v>
      </c>
    </row>
    <row r="103" spans="1:7">
      <c r="A103" s="168" t="s">
        <v>880</v>
      </c>
      <c r="B103" s="169">
        <v>80</v>
      </c>
      <c r="C103" s="197">
        <v>64.080947368421064</v>
      </c>
      <c r="D103" s="167">
        <f>56*'Цены на металл '!C13</f>
        <v>56</v>
      </c>
      <c r="F103" s="244">
        <v>51.592215315789481</v>
      </c>
      <c r="G103" s="3">
        <f t="shared" si="1"/>
        <v>55.719592541052641</v>
      </c>
    </row>
    <row r="104" spans="1:7" ht="14.95" customHeight="1">
      <c r="A104" s="1018" t="s">
        <v>881</v>
      </c>
      <c r="B104" s="1018"/>
      <c r="C104" s="1018"/>
      <c r="D104" s="1018"/>
      <c r="G104" s="3">
        <f t="shared" si="1"/>
        <v>0</v>
      </c>
    </row>
    <row r="105" spans="1:7">
      <c r="A105" s="168" t="s">
        <v>882</v>
      </c>
      <c r="B105" s="169">
        <v>200</v>
      </c>
      <c r="C105" s="196" t="s">
        <v>770</v>
      </c>
      <c r="D105" s="167">
        <f>247*'Цены на металл '!C13</f>
        <v>247</v>
      </c>
      <c r="F105" s="245">
        <v>228.68139552631578</v>
      </c>
      <c r="G105" s="3">
        <f t="shared" si="1"/>
        <v>246.97590716842106</v>
      </c>
    </row>
    <row r="106" spans="1:7">
      <c r="A106" s="168" t="s">
        <v>883</v>
      </c>
      <c r="B106" s="169">
        <v>300</v>
      </c>
      <c r="C106" s="196" t="s">
        <v>770</v>
      </c>
      <c r="D106" s="167">
        <f>317*'Цены на металл '!C13</f>
        <v>317</v>
      </c>
      <c r="F106" s="243">
        <v>293.44979060526316</v>
      </c>
      <c r="G106" s="3">
        <f t="shared" si="1"/>
        <v>316.92577385368423</v>
      </c>
    </row>
    <row r="107" spans="1:7">
      <c r="A107" s="168" t="s">
        <v>884</v>
      </c>
      <c r="B107" s="169">
        <v>400</v>
      </c>
      <c r="C107" s="196" t="s">
        <v>770</v>
      </c>
      <c r="D107" s="167">
        <f>387*'Цены на металл '!C13</f>
        <v>387</v>
      </c>
      <c r="F107" s="243">
        <v>357.95476942105262</v>
      </c>
      <c r="G107" s="3">
        <f t="shared" si="1"/>
        <v>386.59115097473688</v>
      </c>
    </row>
    <row r="108" spans="1:7">
      <c r="A108" s="168" t="s">
        <v>885</v>
      </c>
      <c r="B108" s="169">
        <v>500</v>
      </c>
      <c r="C108" s="196" t="s">
        <v>770</v>
      </c>
      <c r="D108" s="167">
        <f>457*'Цены на металл '!C13</f>
        <v>457</v>
      </c>
      <c r="F108" s="244">
        <v>423.3924383684211</v>
      </c>
      <c r="G108" s="3">
        <f t="shared" si="1"/>
        <v>457.26383343789479</v>
      </c>
    </row>
    <row r="109" spans="1:7" ht="14.95" customHeight="1">
      <c r="A109" s="1018" t="s">
        <v>886</v>
      </c>
      <c r="B109" s="1018"/>
      <c r="C109" s="1018"/>
      <c r="D109" s="1018"/>
      <c r="G109" s="3">
        <f t="shared" si="1"/>
        <v>0</v>
      </c>
    </row>
    <row r="110" spans="1:7">
      <c r="A110" s="168" t="s">
        <v>887</v>
      </c>
      <c r="B110" s="169">
        <v>200</v>
      </c>
      <c r="C110" s="196" t="s">
        <v>770</v>
      </c>
      <c r="D110" s="167">
        <f>266*'Цены на металл '!C13</f>
        <v>266</v>
      </c>
      <c r="F110" s="245">
        <v>246.15331649999996</v>
      </c>
      <c r="G110" s="3">
        <f t="shared" si="1"/>
        <v>265.84558181999995</v>
      </c>
    </row>
    <row r="111" spans="1:7">
      <c r="A111" s="168" t="s">
        <v>888</v>
      </c>
      <c r="B111" s="169">
        <v>300</v>
      </c>
      <c r="C111" s="196" t="s">
        <v>770</v>
      </c>
      <c r="D111" s="167">
        <f>315*'Цены на металл '!C13</f>
        <v>315</v>
      </c>
      <c r="F111" s="243">
        <v>291.75769350000002</v>
      </c>
      <c r="G111" s="3">
        <f t="shared" si="1"/>
        <v>315.09830898000001</v>
      </c>
    </row>
    <row r="112" spans="1:7">
      <c r="A112" s="168" t="s">
        <v>889</v>
      </c>
      <c r="B112" s="169">
        <v>400</v>
      </c>
      <c r="C112" s="196" t="s">
        <v>770</v>
      </c>
      <c r="D112" s="167">
        <f>367*'Цены на металл '!C13</f>
        <v>367</v>
      </c>
      <c r="F112" s="243">
        <v>339.69867750000009</v>
      </c>
      <c r="G112" s="3">
        <f t="shared" si="1"/>
        <v>366.8745717000001</v>
      </c>
    </row>
    <row r="113" spans="1:7">
      <c r="A113" s="168" t="s">
        <v>890</v>
      </c>
      <c r="B113" s="169">
        <v>500</v>
      </c>
      <c r="C113" s="196" t="s">
        <v>770</v>
      </c>
      <c r="D113" s="167">
        <f>415*'Цены на металл '!C13</f>
        <v>415</v>
      </c>
      <c r="F113" s="244">
        <v>384.56718300000011</v>
      </c>
      <c r="G113" s="3">
        <f t="shared" si="1"/>
        <v>415.33255764000018</v>
      </c>
    </row>
  </sheetData>
  <mergeCells count="15">
    <mergeCell ref="A18:D18"/>
    <mergeCell ref="A1:A2"/>
    <mergeCell ref="B1:B2"/>
    <mergeCell ref="C1:C2"/>
    <mergeCell ref="D1:D2"/>
    <mergeCell ref="A3:D3"/>
    <mergeCell ref="A99:D99"/>
    <mergeCell ref="A104:D104"/>
    <mergeCell ref="A109:D109"/>
    <mergeCell ref="A34:D34"/>
    <mergeCell ref="A49:D49"/>
    <mergeCell ref="A65:D65"/>
    <mergeCell ref="A71:D71"/>
    <mergeCell ref="A82:D82"/>
    <mergeCell ref="A90:D9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28"/>
  <dimension ref="A1:J56"/>
  <sheetViews>
    <sheetView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G13" sqref="G13"/>
    </sheetView>
  </sheetViews>
  <sheetFormatPr defaultColWidth="9.125" defaultRowHeight="14.3"/>
  <cols>
    <col min="1" max="1" width="19" style="200" bestFit="1" customWidth="1"/>
    <col min="2" max="3" width="9.125" style="200"/>
    <col min="4" max="4" width="10.375" style="200" customWidth="1"/>
    <col min="5" max="7" width="9.125" style="200"/>
    <col min="8" max="8" width="8" style="200" bestFit="1" customWidth="1"/>
    <col min="9" max="16384" width="9.125" style="200"/>
  </cols>
  <sheetData>
    <row r="1" spans="1:10" ht="14.95" customHeight="1">
      <c r="A1" s="1038" t="s">
        <v>2</v>
      </c>
      <c r="B1" s="1038" t="s">
        <v>894</v>
      </c>
      <c r="C1" s="1038" t="s">
        <v>763</v>
      </c>
      <c r="D1" s="1038" t="s">
        <v>764</v>
      </c>
      <c r="E1" s="1039" t="s">
        <v>765</v>
      </c>
      <c r="F1" s="1038" t="s">
        <v>766</v>
      </c>
      <c r="G1" s="1037" t="s">
        <v>1186</v>
      </c>
      <c r="H1" s="1031" t="s">
        <v>1185</v>
      </c>
      <c r="I1" s="985" t="s">
        <v>2052</v>
      </c>
      <c r="J1" s="985"/>
    </row>
    <row r="2" spans="1:10" ht="21.75" customHeight="1">
      <c r="A2" s="1038"/>
      <c r="B2" s="1038"/>
      <c r="C2" s="1038"/>
      <c r="D2" s="1038"/>
      <c r="E2" s="1039"/>
      <c r="F2" s="1038"/>
      <c r="G2" s="1037"/>
      <c r="H2" s="1031"/>
      <c r="I2" s="985"/>
      <c r="J2" s="985"/>
    </row>
    <row r="3" spans="1:10" ht="18.7" customHeight="1">
      <c r="A3" s="1036" t="s">
        <v>928</v>
      </c>
      <c r="B3" s="1036"/>
      <c r="C3" s="1036"/>
      <c r="D3" s="1036"/>
      <c r="E3" s="1036"/>
      <c r="F3" s="1036"/>
      <c r="G3" s="1036"/>
      <c r="H3" s="227"/>
    </row>
    <row r="4" spans="1:10">
      <c r="A4" s="228" t="s">
        <v>929</v>
      </c>
      <c r="B4" s="229" t="s">
        <v>930</v>
      </c>
      <c r="C4" s="229">
        <v>35</v>
      </c>
      <c r="D4" s="229">
        <v>20</v>
      </c>
      <c r="E4" s="230">
        <v>6</v>
      </c>
      <c r="F4" s="231" t="s">
        <v>789</v>
      </c>
      <c r="G4" s="149">
        <f>'Крепеж для Strut (2)'!G4*1.8*(1-$I$2/100)</f>
        <v>18.576944666280003</v>
      </c>
      <c r="H4" s="147" t="s">
        <v>770</v>
      </c>
    </row>
    <row r="5" spans="1:10">
      <c r="A5" s="228" t="s">
        <v>931</v>
      </c>
      <c r="B5" s="229" t="s">
        <v>932</v>
      </c>
      <c r="C5" s="229">
        <v>35</v>
      </c>
      <c r="D5" s="229">
        <v>20</v>
      </c>
      <c r="E5" s="230">
        <v>6</v>
      </c>
      <c r="F5" s="232" t="s">
        <v>789</v>
      </c>
      <c r="G5" s="149">
        <f>'Крепеж для Strut (2)'!G5*1.8*(1-$I$2/100)</f>
        <v>19.844454750120001</v>
      </c>
      <c r="H5" s="147" t="s">
        <v>770</v>
      </c>
    </row>
    <row r="6" spans="1:10">
      <c r="A6" s="228" t="s">
        <v>933</v>
      </c>
      <c r="B6" s="233" t="s">
        <v>934</v>
      </c>
      <c r="C6" s="229">
        <v>35</v>
      </c>
      <c r="D6" s="229">
        <v>20</v>
      </c>
      <c r="E6" s="234">
        <v>8</v>
      </c>
      <c r="F6" s="235" t="s">
        <v>789</v>
      </c>
      <c r="G6" s="149">
        <f>'Крепеж для Strut (2)'!G6*1.8*(1-$I$2/100)</f>
        <v>23.052839649839999</v>
      </c>
      <c r="H6" s="147" t="s">
        <v>770</v>
      </c>
    </row>
    <row r="7" spans="1:10">
      <c r="A7" s="228" t="s">
        <v>935</v>
      </c>
      <c r="B7" s="233" t="s">
        <v>936</v>
      </c>
      <c r="C7" s="229">
        <v>35</v>
      </c>
      <c r="D7" s="229">
        <v>20</v>
      </c>
      <c r="E7" s="234">
        <v>10</v>
      </c>
      <c r="F7" s="235" t="s">
        <v>789</v>
      </c>
      <c r="G7" s="149">
        <f>'Крепеж для Strut (2)'!G7*1.8*(1-$I$2/100)</f>
        <v>27.37029587292</v>
      </c>
      <c r="H7" s="147" t="s">
        <v>770</v>
      </c>
    </row>
    <row r="8" spans="1:10" ht="19.05">
      <c r="A8" s="215" t="s">
        <v>937</v>
      </c>
      <c r="B8" s="216"/>
      <c r="C8" s="216"/>
      <c r="D8" s="216"/>
      <c r="E8" s="216"/>
      <c r="F8" s="216"/>
      <c r="G8" s="149"/>
      <c r="H8" s="236"/>
    </row>
    <row r="9" spans="1:10">
      <c r="A9" s="228" t="s">
        <v>938</v>
      </c>
      <c r="B9" s="229" t="s">
        <v>930</v>
      </c>
      <c r="C9" s="229">
        <v>35</v>
      </c>
      <c r="D9" s="229">
        <v>20</v>
      </c>
      <c r="E9" s="230">
        <v>6</v>
      </c>
      <c r="F9" s="231" t="s">
        <v>789</v>
      </c>
      <c r="G9" s="149">
        <f>'Крепеж для Strut (2)'!G9*1.8*(1-$I$2/100)</f>
        <v>20.597038862400002</v>
      </c>
      <c r="H9" s="147" t="s">
        <v>770</v>
      </c>
    </row>
    <row r="10" spans="1:10">
      <c r="A10" s="228" t="s">
        <v>939</v>
      </c>
      <c r="B10" s="229" t="s">
        <v>932</v>
      </c>
      <c r="C10" s="229">
        <v>35</v>
      </c>
      <c r="D10" s="229">
        <v>20</v>
      </c>
      <c r="E10" s="230">
        <v>6</v>
      </c>
      <c r="F10" s="232" t="s">
        <v>789</v>
      </c>
      <c r="G10" s="149">
        <f>'Крепеж для Strut (2)'!G10*1.8*(1-$I$2/100)</f>
        <v>21.943768326480001</v>
      </c>
      <c r="H10" s="147" t="s">
        <v>770</v>
      </c>
    </row>
    <row r="11" spans="1:10">
      <c r="A11" s="228" t="s">
        <v>940</v>
      </c>
      <c r="B11" s="233" t="s">
        <v>934</v>
      </c>
      <c r="C11" s="229">
        <v>35</v>
      </c>
      <c r="D11" s="229">
        <v>20</v>
      </c>
      <c r="E11" s="234">
        <v>8</v>
      </c>
      <c r="F11" s="235" t="s">
        <v>789</v>
      </c>
      <c r="G11" s="149">
        <f>'Крепеж для Strut (2)'!G11*1.8*(1-$I$2/100)</f>
        <v>24.161910973199998</v>
      </c>
      <c r="H11" s="147" t="s">
        <v>770</v>
      </c>
    </row>
    <row r="12" spans="1:10">
      <c r="A12" s="228" t="s">
        <v>941</v>
      </c>
      <c r="B12" s="233" t="s">
        <v>936</v>
      </c>
      <c r="C12" s="229">
        <v>35</v>
      </c>
      <c r="D12" s="229">
        <v>20</v>
      </c>
      <c r="E12" s="234">
        <v>10</v>
      </c>
      <c r="F12" s="237" t="s">
        <v>789</v>
      </c>
      <c r="G12" s="149">
        <f>'Крепеж для Strut (2)'!G12*1.8*(1-$I$2/100)</f>
        <v>27.616925699999999</v>
      </c>
      <c r="H12" s="147" t="s">
        <v>770</v>
      </c>
    </row>
    <row r="13" spans="1:10" ht="19.05">
      <c r="A13" s="215" t="s">
        <v>942</v>
      </c>
      <c r="B13" s="216"/>
      <c r="C13" s="216"/>
      <c r="D13" s="216"/>
      <c r="E13" s="216"/>
      <c r="F13" s="216"/>
      <c r="G13" s="149"/>
      <c r="H13" s="236"/>
    </row>
    <row r="14" spans="1:10">
      <c r="A14" s="228" t="s">
        <v>943</v>
      </c>
      <c r="B14" s="229" t="s">
        <v>930</v>
      </c>
      <c r="C14" s="229">
        <v>35</v>
      </c>
      <c r="D14" s="229">
        <v>20</v>
      </c>
      <c r="E14" s="230">
        <v>6</v>
      </c>
      <c r="F14" s="231" t="s">
        <v>789</v>
      </c>
      <c r="G14" s="149">
        <f>'Крепеж для Strut (2)'!G14*1.8*(1-$I$2/100)</f>
        <v>22.49830398816</v>
      </c>
      <c r="H14" s="147" t="s">
        <v>770</v>
      </c>
    </row>
    <row r="15" spans="1:10">
      <c r="A15" s="228" t="s">
        <v>944</v>
      </c>
      <c r="B15" s="229" t="s">
        <v>932</v>
      </c>
      <c r="C15" s="229">
        <v>35</v>
      </c>
      <c r="D15" s="229">
        <v>20</v>
      </c>
      <c r="E15" s="230">
        <v>6</v>
      </c>
      <c r="F15" s="238" t="s">
        <v>789</v>
      </c>
      <c r="G15" s="149">
        <f>'Крепеж для Strut (2)'!G15*1.8*(1-$I$2/100)</f>
        <v>23.805423762120004</v>
      </c>
      <c r="H15" s="147" t="s">
        <v>770</v>
      </c>
    </row>
    <row r="16" spans="1:10">
      <c r="A16" s="228" t="s">
        <v>945</v>
      </c>
      <c r="B16" s="233" t="s">
        <v>934</v>
      </c>
      <c r="C16" s="229">
        <v>35</v>
      </c>
      <c r="D16" s="229">
        <v>20</v>
      </c>
      <c r="E16" s="234">
        <v>8</v>
      </c>
      <c r="F16" s="235" t="s">
        <v>789</v>
      </c>
      <c r="G16" s="149">
        <f>'Крепеж для Strut (2)'!G16*1.8*(1-$I$2/100)</f>
        <v>25.66707919776</v>
      </c>
      <c r="H16" s="147" t="s">
        <v>770</v>
      </c>
    </row>
    <row r="17" spans="1:8">
      <c r="A17" s="228" t="s">
        <v>946</v>
      </c>
      <c r="B17" s="233" t="s">
        <v>936</v>
      </c>
      <c r="C17" s="229">
        <v>35</v>
      </c>
      <c r="D17" s="229">
        <v>20</v>
      </c>
      <c r="E17" s="234">
        <v>10</v>
      </c>
      <c r="F17" s="235" t="s">
        <v>789</v>
      </c>
      <c r="G17" s="149">
        <f>'Крепеж для Strut (2)'!G17*1.8*(1-$I$2/100)</f>
        <v>26.228475000000003</v>
      </c>
      <c r="H17" s="147" t="s">
        <v>770</v>
      </c>
    </row>
    <row r="18" spans="1:8" ht="19.05">
      <c r="A18" s="215" t="s">
        <v>947</v>
      </c>
      <c r="B18" s="216"/>
      <c r="C18" s="216"/>
      <c r="D18" s="216"/>
      <c r="E18" s="216"/>
      <c r="F18" s="216"/>
      <c r="G18" s="149"/>
      <c r="H18" s="236"/>
    </row>
    <row r="19" spans="1:8">
      <c r="A19" s="228" t="s">
        <v>948</v>
      </c>
      <c r="B19" s="239">
        <v>100</v>
      </c>
      <c r="C19" s="229">
        <v>100</v>
      </c>
      <c r="D19" s="229">
        <v>54</v>
      </c>
      <c r="E19" s="230">
        <v>5</v>
      </c>
      <c r="F19" s="238" t="s">
        <v>789</v>
      </c>
      <c r="G19" s="149">
        <f>'Крепеж для Strut (2)'!G19*1.8*(1-$I$2/100)</f>
        <v>279.32210526315771</v>
      </c>
      <c r="H19" s="146">
        <f>'Крепеж для Strut (2)'!H19*1.8*(1-$I$2/100)</f>
        <v>360.97773290526283</v>
      </c>
    </row>
    <row r="20" spans="1:8" ht="19.05">
      <c r="A20" s="215" t="s">
        <v>949</v>
      </c>
      <c r="B20" s="216"/>
      <c r="C20" s="216"/>
      <c r="D20" s="216"/>
      <c r="E20" s="216"/>
      <c r="F20" s="216"/>
      <c r="G20" s="149">
        <f>'Крепеж для Strut (2)'!G20*1.8*(1-$I$2/100)</f>
        <v>0</v>
      </c>
      <c r="H20" s="146"/>
    </row>
    <row r="21" spans="1:8">
      <c r="A21" s="228" t="s">
        <v>950</v>
      </c>
      <c r="B21" s="239">
        <v>100</v>
      </c>
      <c r="C21" s="233">
        <v>100</v>
      </c>
      <c r="D21" s="229">
        <v>43</v>
      </c>
      <c r="E21" s="230">
        <v>5</v>
      </c>
      <c r="F21" s="238" t="s">
        <v>789</v>
      </c>
      <c r="G21" s="149">
        <f>'Крепеж для Strut (2)'!G21*1.8*(1-$I$2/100)</f>
        <v>328.80867157894744</v>
      </c>
      <c r="H21" s="146">
        <f>'Крепеж для Strut (2)'!H21*1.8*(1-$I$2/100)</f>
        <v>412.80082863157946</v>
      </c>
    </row>
    <row r="22" spans="1:8" ht="19.05">
      <c r="A22" s="215" t="s">
        <v>951</v>
      </c>
      <c r="B22" s="216"/>
      <c r="C22" s="216"/>
      <c r="D22" s="216"/>
      <c r="E22" s="216"/>
      <c r="F22" s="216"/>
      <c r="G22" s="149"/>
      <c r="H22" s="146"/>
    </row>
    <row r="23" spans="1:8">
      <c r="A23" s="228" t="s">
        <v>952</v>
      </c>
      <c r="B23" s="239">
        <v>200</v>
      </c>
      <c r="C23" s="229">
        <v>100</v>
      </c>
      <c r="D23" s="229">
        <v>43</v>
      </c>
      <c r="E23" s="230">
        <v>5</v>
      </c>
      <c r="F23" s="238" t="s">
        <v>789</v>
      </c>
      <c r="G23" s="149">
        <f>'Крепеж для Strut (2)'!G23*1.8*(1-$I$2/100)</f>
        <v>501.38317894736804</v>
      </c>
      <c r="H23" s="146">
        <f>'Крепеж для Strut (2)'!H23*1.8*(1-$I$2/100)</f>
        <v>680.02502797894749</v>
      </c>
    </row>
    <row r="24" spans="1:8" ht="19.05">
      <c r="A24" s="215" t="s">
        <v>953</v>
      </c>
      <c r="B24" s="216"/>
      <c r="C24" s="216"/>
      <c r="D24" s="216"/>
      <c r="E24" s="216"/>
      <c r="F24" s="216"/>
      <c r="G24" s="149"/>
      <c r="H24" s="146"/>
    </row>
    <row r="25" spans="1:8">
      <c r="A25" s="228" t="s">
        <v>954</v>
      </c>
      <c r="B25" s="239">
        <v>218</v>
      </c>
      <c r="C25" s="229">
        <v>40</v>
      </c>
      <c r="D25" s="229">
        <v>152</v>
      </c>
      <c r="E25" s="230">
        <v>4</v>
      </c>
      <c r="F25" s="238" t="s">
        <v>789</v>
      </c>
      <c r="G25" s="149">
        <f>'Крепеж для Strut (2)'!G25*1.8*(1-$I$2/100)</f>
        <v>990.12703263157948</v>
      </c>
      <c r="H25" s="146">
        <f>'Крепеж для Strut (2)'!H25*1.8*(1-$I$2/100)</f>
        <v>1263.7251296526285</v>
      </c>
    </row>
    <row r="26" spans="1:8">
      <c r="A26" s="228" t="s">
        <v>955</v>
      </c>
      <c r="B26" s="239">
        <v>260</v>
      </c>
      <c r="C26" s="229">
        <v>40</v>
      </c>
      <c r="D26" s="229">
        <v>152</v>
      </c>
      <c r="E26" s="230">
        <v>4</v>
      </c>
      <c r="F26" s="238" t="s">
        <v>789</v>
      </c>
      <c r="G26" s="149">
        <f>'Крепеж для Strut (2)'!G26*1.8*(1-$I$2/100)</f>
        <v>1080.8136094736847</v>
      </c>
      <c r="H26" s="146">
        <f>'Крепеж для Strut (2)'!H26*1.8*(1-$I$2/100)</f>
        <v>1442.4428611894743</v>
      </c>
    </row>
    <row r="27" spans="1:8" ht="14.95" customHeight="1">
      <c r="A27" s="215" t="s">
        <v>956</v>
      </c>
      <c r="B27" s="216"/>
      <c r="C27" s="216"/>
      <c r="D27" s="216"/>
      <c r="E27" s="216"/>
      <c r="F27" s="216"/>
      <c r="G27" s="149"/>
      <c r="H27" s="146"/>
    </row>
    <row r="28" spans="1:8">
      <c r="A28" s="228" t="s">
        <v>957</v>
      </c>
      <c r="B28" s="239">
        <v>130</v>
      </c>
      <c r="C28" s="229">
        <v>130</v>
      </c>
      <c r="D28" s="229">
        <v>44</v>
      </c>
      <c r="E28" s="230">
        <v>4</v>
      </c>
      <c r="F28" s="238" t="s">
        <v>789</v>
      </c>
      <c r="G28" s="149">
        <f>'Крепеж для Strut (2)'!G28*1.8*(1-$I$2/100)</f>
        <v>419.98406210526286</v>
      </c>
      <c r="H28" s="146">
        <f>'Крепеж для Strut (2)'!H28*1.8*(1-$I$2/100)</f>
        <v>513.89843864210513</v>
      </c>
    </row>
    <row r="29" spans="1:8" ht="19.05">
      <c r="A29" s="215" t="s">
        <v>958</v>
      </c>
      <c r="B29" s="216"/>
      <c r="C29" s="216"/>
      <c r="D29" s="216"/>
      <c r="E29" s="216"/>
      <c r="F29" s="216"/>
      <c r="G29" s="149"/>
      <c r="H29" s="146"/>
    </row>
    <row r="30" spans="1:8">
      <c r="A30" s="228" t="s">
        <v>959</v>
      </c>
      <c r="B30" s="239">
        <v>130</v>
      </c>
      <c r="C30" s="229">
        <v>130</v>
      </c>
      <c r="D30" s="229">
        <v>44</v>
      </c>
      <c r="E30" s="230">
        <v>4</v>
      </c>
      <c r="F30" s="238" t="s">
        <v>789</v>
      </c>
      <c r="G30" s="149">
        <f>'Крепеж для Strut (2)'!G30*1.8*(1-$I$2/100)</f>
        <v>623.93575263157948</v>
      </c>
      <c r="H30" s="146">
        <f>'Крепеж для Strut (2)'!H30*1.8*(1-$I$2/100)</f>
        <v>748.50992005263197</v>
      </c>
    </row>
    <row r="31" spans="1:8" ht="19.05">
      <c r="A31" s="215" t="s">
        <v>956</v>
      </c>
      <c r="B31" s="216"/>
      <c r="C31" s="216"/>
      <c r="D31" s="216"/>
      <c r="E31" s="216"/>
      <c r="F31" s="216"/>
      <c r="G31" s="149"/>
      <c r="H31" s="146"/>
    </row>
    <row r="32" spans="1:8">
      <c r="A32" s="228" t="s">
        <v>960</v>
      </c>
      <c r="B32" s="239">
        <v>200</v>
      </c>
      <c r="C32" s="229">
        <v>200</v>
      </c>
      <c r="D32" s="229">
        <v>106</v>
      </c>
      <c r="E32" s="230">
        <v>6</v>
      </c>
      <c r="F32" s="238" t="s">
        <v>789</v>
      </c>
      <c r="G32" s="149">
        <f>'Крепеж для Strut (2)'!G32*1.8*(1-$I$2/100)</f>
        <v>1555.9405105263202</v>
      </c>
      <c r="H32" s="146">
        <f>'Крепеж для Strut (2)'!H32*1.8*(1-$I$2/100)</f>
        <v>2037.7718404105258</v>
      </c>
    </row>
    <row r="33" spans="1:8">
      <c r="A33" s="228" t="s">
        <v>961</v>
      </c>
      <c r="B33" s="239">
        <v>100</v>
      </c>
      <c r="C33" s="229">
        <v>100</v>
      </c>
      <c r="D33" s="229">
        <v>104</v>
      </c>
      <c r="E33" s="230">
        <v>4</v>
      </c>
      <c r="F33" s="238" t="s">
        <v>789</v>
      </c>
      <c r="G33" s="149">
        <f>'Крепеж для Strut (2)'!G33*1.8*(1-$I$2/100)</f>
        <v>560.27358947368464</v>
      </c>
      <c r="H33" s="146">
        <f>'Крепеж для Strut (2)'!H33*1.8*(1-$I$2/100)</f>
        <v>703.47504978947427</v>
      </c>
    </row>
    <row r="34" spans="1:8" ht="19.05">
      <c r="A34" s="215" t="s">
        <v>962</v>
      </c>
      <c r="B34" s="216"/>
      <c r="C34" s="216"/>
      <c r="D34" s="216"/>
      <c r="E34" s="216"/>
      <c r="F34" s="216"/>
      <c r="G34" s="149"/>
      <c r="H34" s="236"/>
    </row>
    <row r="35" spans="1:8">
      <c r="A35" s="228" t="s">
        <v>963</v>
      </c>
      <c r="B35" s="239">
        <v>127</v>
      </c>
      <c r="C35" s="229">
        <v>60</v>
      </c>
      <c r="D35" s="229">
        <v>100</v>
      </c>
      <c r="E35" s="230">
        <v>4</v>
      </c>
      <c r="F35" s="238" t="s">
        <v>789</v>
      </c>
      <c r="G35" s="149">
        <f>'Крепеж для Strut (2)'!G35*1.8*(1-$I$2/100)</f>
        <v>525.0557273684218</v>
      </c>
      <c r="H35" s="147" t="s">
        <v>770</v>
      </c>
    </row>
    <row r="36" spans="1:8" ht="19.05">
      <c r="A36" s="215" t="s">
        <v>964</v>
      </c>
      <c r="B36" s="216"/>
      <c r="C36" s="216"/>
      <c r="D36" s="216"/>
      <c r="E36" s="216"/>
      <c r="F36" s="216"/>
      <c r="G36" s="149"/>
      <c r="H36" s="236"/>
    </row>
    <row r="37" spans="1:8">
      <c r="A37" s="228" t="s">
        <v>965</v>
      </c>
      <c r="B37" s="239">
        <v>127</v>
      </c>
      <c r="C37" s="229">
        <v>60</v>
      </c>
      <c r="D37" s="229">
        <v>100</v>
      </c>
      <c r="E37" s="230">
        <v>4</v>
      </c>
      <c r="F37" s="238" t="s">
        <v>789</v>
      </c>
      <c r="G37" s="149">
        <f>'Крепеж для Strut (2)'!G37*1.8*(1-$I$2/100)</f>
        <v>525.0557273684218</v>
      </c>
      <c r="H37" s="147" t="s">
        <v>770</v>
      </c>
    </row>
    <row r="38" spans="1:8" ht="19.05">
      <c r="A38" s="215" t="s">
        <v>966</v>
      </c>
      <c r="B38" s="216"/>
      <c r="C38" s="216"/>
      <c r="D38" s="216"/>
      <c r="E38" s="216"/>
      <c r="F38" s="216"/>
      <c r="G38" s="149"/>
      <c r="H38" s="236"/>
    </row>
    <row r="39" spans="1:8">
      <c r="A39" s="228" t="s">
        <v>967</v>
      </c>
      <c r="B39" s="239">
        <v>127</v>
      </c>
      <c r="C39" s="229">
        <v>60</v>
      </c>
      <c r="D39" s="229">
        <v>100</v>
      </c>
      <c r="E39" s="230">
        <v>4</v>
      </c>
      <c r="F39" s="238" t="s">
        <v>789</v>
      </c>
      <c r="G39" s="149">
        <f>'Крепеж для Strut (2)'!G39*1.8*(1-$I$2/100)</f>
        <v>679.66051263157954</v>
      </c>
      <c r="H39" s="147" t="s">
        <v>770</v>
      </c>
    </row>
    <row r="40" spans="1:8">
      <c r="A40" s="228" t="s">
        <v>968</v>
      </c>
      <c r="B40" s="239">
        <v>127</v>
      </c>
      <c r="C40" s="229">
        <v>60</v>
      </c>
      <c r="D40" s="229">
        <v>100</v>
      </c>
      <c r="E40" s="230">
        <v>4</v>
      </c>
      <c r="F40" s="238" t="s">
        <v>789</v>
      </c>
      <c r="G40" s="149">
        <f>'Крепеж для Strut (2)'!G40*1.8*(1-$I$2/100)</f>
        <v>679.66051263157954</v>
      </c>
      <c r="H40" s="147" t="s">
        <v>770</v>
      </c>
    </row>
    <row r="41" spans="1:8">
      <c r="A41" s="228" t="s">
        <v>969</v>
      </c>
      <c r="B41" s="239">
        <v>169</v>
      </c>
      <c r="C41" s="229">
        <v>60</v>
      </c>
      <c r="D41" s="229">
        <v>100</v>
      </c>
      <c r="E41" s="230">
        <v>4</v>
      </c>
      <c r="F41" s="238" t="s">
        <v>789</v>
      </c>
      <c r="G41" s="149">
        <f>'Крепеж для Strut (2)'!G41*1.8*(1-$I$2/100)</f>
        <v>877.58350105263196</v>
      </c>
      <c r="H41" s="147" t="s">
        <v>770</v>
      </c>
    </row>
    <row r="42" spans="1:8" ht="14.95" customHeight="1">
      <c r="A42" s="215" t="s">
        <v>970</v>
      </c>
      <c r="B42" s="216"/>
      <c r="C42" s="216"/>
      <c r="D42" s="216"/>
      <c r="E42" s="216"/>
      <c r="F42" s="216"/>
      <c r="G42" s="149"/>
      <c r="H42" s="236"/>
    </row>
    <row r="43" spans="1:8">
      <c r="A43" s="228" t="s">
        <v>971</v>
      </c>
      <c r="B43" s="239">
        <v>190</v>
      </c>
      <c r="C43" s="229">
        <v>58</v>
      </c>
      <c r="D43" s="229"/>
      <c r="E43" s="230">
        <v>3</v>
      </c>
      <c r="F43" s="238" t="s">
        <v>789</v>
      </c>
      <c r="G43" s="149">
        <f>'Крепеж для Strut (2)'!G43*1.8*(1-$I$2/100)</f>
        <v>1059.3989147368425</v>
      </c>
      <c r="H43" s="146">
        <f>'Крепеж для Strut (2)'!H43*1.8*(1-$I$2/100)</f>
        <v>1136.2411242000001</v>
      </c>
    </row>
    <row r="44" spans="1:8" ht="14.95" customHeight="1">
      <c r="A44" s="215" t="s">
        <v>972</v>
      </c>
      <c r="B44" s="216"/>
      <c r="C44" s="216"/>
      <c r="D44" s="216"/>
      <c r="E44" s="216"/>
      <c r="F44" s="216"/>
      <c r="G44" s="149"/>
      <c r="H44" s="236"/>
    </row>
    <row r="45" spans="1:8">
      <c r="A45" s="228" t="s">
        <v>973</v>
      </c>
      <c r="B45" s="239">
        <v>127</v>
      </c>
      <c r="C45" s="229">
        <v>127</v>
      </c>
      <c r="D45" s="229"/>
      <c r="E45" s="230">
        <v>6</v>
      </c>
      <c r="F45" s="237" t="s">
        <v>789</v>
      </c>
      <c r="G45" s="149">
        <f>'Крепеж для Strut (2)'!G45*1.8*(1-$I$2/100)</f>
        <v>406.25072526315773</v>
      </c>
      <c r="H45" s="147" t="s">
        <v>770</v>
      </c>
    </row>
    <row r="46" spans="1:8" ht="14.95" customHeight="1">
      <c r="A46" s="215" t="s">
        <v>974</v>
      </c>
      <c r="B46" s="216"/>
      <c r="C46" s="216"/>
      <c r="D46" s="216"/>
      <c r="E46" s="216"/>
      <c r="F46" s="216"/>
      <c r="G46" s="149"/>
      <c r="H46" s="236"/>
    </row>
    <row r="47" spans="1:8">
      <c r="A47" s="228" t="s">
        <v>975</v>
      </c>
      <c r="B47" s="239">
        <v>90</v>
      </c>
      <c r="C47" s="229">
        <v>95</v>
      </c>
      <c r="D47" s="229">
        <v>95</v>
      </c>
      <c r="E47" s="230">
        <v>2</v>
      </c>
      <c r="F47" s="237" t="s">
        <v>789</v>
      </c>
      <c r="G47" s="149">
        <f>'Крепеж для Strut (2)'!G47*1.8*(1-$I$2/100)</f>
        <v>110.91880800000001</v>
      </c>
      <c r="H47" s="147" t="s">
        <v>770</v>
      </c>
    </row>
    <row r="48" spans="1:8" ht="14.95" customHeight="1">
      <c r="A48" s="215" t="s">
        <v>976</v>
      </c>
      <c r="B48" s="216"/>
      <c r="C48" s="216"/>
      <c r="D48" s="216"/>
      <c r="E48" s="216"/>
      <c r="F48" s="216"/>
      <c r="G48" s="149"/>
      <c r="H48" s="236"/>
    </row>
    <row r="49" spans="1:9">
      <c r="A49" s="228" t="s">
        <v>977</v>
      </c>
      <c r="B49" s="239">
        <v>125</v>
      </c>
      <c r="C49" s="229">
        <v>45</v>
      </c>
      <c r="D49" s="229">
        <v>100</v>
      </c>
      <c r="E49" s="230">
        <v>2</v>
      </c>
      <c r="F49" s="237" t="s">
        <v>789</v>
      </c>
      <c r="G49" s="149">
        <f>'Крепеж для Strut (2)'!G49*1.8*(1-$I$2/100)</f>
        <v>133.55367479999998</v>
      </c>
      <c r="H49" s="147" t="s">
        <v>770</v>
      </c>
    </row>
    <row r="50" spans="1:9" ht="14.95" customHeight="1">
      <c r="A50" s="215" t="s">
        <v>978</v>
      </c>
      <c r="B50" s="216"/>
      <c r="C50" s="216"/>
      <c r="D50" s="216"/>
      <c r="E50" s="216"/>
      <c r="F50" s="216"/>
      <c r="G50" s="149"/>
      <c r="H50" s="236"/>
    </row>
    <row r="51" spans="1:9">
      <c r="A51" s="228" t="s">
        <v>979</v>
      </c>
      <c r="B51" s="239">
        <v>75</v>
      </c>
      <c r="C51" s="233">
        <v>40</v>
      </c>
      <c r="D51" s="240">
        <v>75</v>
      </c>
      <c r="E51" s="234">
        <v>4</v>
      </c>
      <c r="F51" s="237" t="s">
        <v>789</v>
      </c>
      <c r="G51" s="149">
        <f>'Крепеж для Strut (2)'!G51*1.8*(1-$I$2/100)</f>
        <v>158.76249480000001</v>
      </c>
      <c r="H51" s="147" t="s">
        <v>770</v>
      </c>
    </row>
    <row r="52" spans="1:9" ht="14.95" customHeight="1">
      <c r="A52" s="215" t="s">
        <v>980</v>
      </c>
      <c r="B52" s="216"/>
      <c r="C52" s="216"/>
      <c r="D52" s="216"/>
      <c r="E52" s="216"/>
      <c r="F52" s="216"/>
      <c r="G52" s="149"/>
      <c r="H52" s="236"/>
    </row>
    <row r="53" spans="1:9">
      <c r="A53" s="228" t="s">
        <v>981</v>
      </c>
      <c r="B53" s="239">
        <v>120</v>
      </c>
      <c r="C53" s="233">
        <v>44</v>
      </c>
      <c r="D53" s="241">
        <v>75</v>
      </c>
      <c r="E53" s="234">
        <v>2</v>
      </c>
      <c r="F53" s="237" t="s">
        <v>789</v>
      </c>
      <c r="G53" s="149">
        <f>'Крепеж для Strut (2)'!G53*1.8*(1-$I$2/100)</f>
        <v>280.45475640000001</v>
      </c>
      <c r="H53" s="147" t="s">
        <v>770</v>
      </c>
    </row>
    <row r="56" spans="1:9">
      <c r="I56" s="200" t="s">
        <v>983</v>
      </c>
    </row>
  </sheetData>
  <mergeCells count="11">
    <mergeCell ref="I1:J1"/>
    <mergeCell ref="I2:J2"/>
    <mergeCell ref="A3:G3"/>
    <mergeCell ref="G1:G2"/>
    <mergeCell ref="H1:H2"/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29"/>
  <dimension ref="A1:I56"/>
  <sheetViews>
    <sheetView zoomScaleNormal="100" workbookViewId="0">
      <pane xSplit="8" ySplit="2" topLeftCell="I27" activePane="bottomRight" state="frozen"/>
      <selection pane="topRight" activeCell="I1" sqref="I1"/>
      <selection pane="bottomLeft" activeCell="A3" sqref="A3"/>
      <selection pane="bottomRight" activeCell="H43" sqref="H43"/>
    </sheetView>
  </sheetViews>
  <sheetFormatPr defaultRowHeight="14.3"/>
  <cols>
    <col min="1" max="1" width="19" bestFit="1" customWidth="1"/>
    <col min="4" max="4" width="10.375" customWidth="1"/>
    <col min="8" max="8" width="8" bestFit="1" customWidth="1"/>
  </cols>
  <sheetData>
    <row r="1" spans="1:8" ht="14.95" customHeight="1">
      <c r="A1" s="1040" t="s">
        <v>2</v>
      </c>
      <c r="B1" s="1040" t="s">
        <v>894</v>
      </c>
      <c r="C1" s="1040" t="s">
        <v>763</v>
      </c>
      <c r="D1" s="1040" t="s">
        <v>764</v>
      </c>
      <c r="E1" s="1041" t="s">
        <v>765</v>
      </c>
      <c r="F1" s="1040" t="s">
        <v>766</v>
      </c>
      <c r="G1" s="1037" t="s">
        <v>1186</v>
      </c>
      <c r="H1" s="1031" t="s">
        <v>1185</v>
      </c>
    </row>
    <row r="2" spans="1:8" ht="21.75" customHeight="1">
      <c r="A2" s="1040"/>
      <c r="B2" s="1040"/>
      <c r="C2" s="1040"/>
      <c r="D2" s="1040"/>
      <c r="E2" s="1041"/>
      <c r="F2" s="1040"/>
      <c r="G2" s="1037"/>
      <c r="H2" s="1031"/>
    </row>
    <row r="3" spans="1:8" ht="18.7" customHeight="1">
      <c r="A3" s="1018" t="s">
        <v>928</v>
      </c>
      <c r="B3" s="1018"/>
      <c r="C3" s="1018"/>
      <c r="D3" s="1018"/>
      <c r="E3" s="1018"/>
      <c r="F3" s="1018"/>
      <c r="G3" s="1018"/>
      <c r="H3" s="55"/>
    </row>
    <row r="4" spans="1:8">
      <c r="A4" s="56" t="s">
        <v>929</v>
      </c>
      <c r="B4" s="57" t="s">
        <v>930</v>
      </c>
      <c r="C4" s="57">
        <v>35</v>
      </c>
      <c r="D4" s="57">
        <v>20</v>
      </c>
      <c r="E4" s="58">
        <v>6</v>
      </c>
      <c r="F4" s="59" t="s">
        <v>789</v>
      </c>
      <c r="G4" s="149">
        <f>15.877730484*0.65</f>
        <v>10.320524814600001</v>
      </c>
      <c r="H4" s="147" t="s">
        <v>770</v>
      </c>
    </row>
    <row r="5" spans="1:8">
      <c r="A5" s="56" t="s">
        <v>931</v>
      </c>
      <c r="B5" s="57" t="s">
        <v>932</v>
      </c>
      <c r="C5" s="57">
        <v>35</v>
      </c>
      <c r="D5" s="57">
        <v>20</v>
      </c>
      <c r="E5" s="58">
        <v>6</v>
      </c>
      <c r="F5" s="60" t="s">
        <v>789</v>
      </c>
      <c r="G5" s="149">
        <f>16.961072436*0.65</f>
        <v>11.0246970834</v>
      </c>
      <c r="H5" s="147" t="s">
        <v>770</v>
      </c>
    </row>
    <row r="6" spans="1:8">
      <c r="A6" s="56" t="s">
        <v>933</v>
      </c>
      <c r="B6" s="61" t="s">
        <v>934</v>
      </c>
      <c r="C6" s="57">
        <v>35</v>
      </c>
      <c r="D6" s="57">
        <v>20</v>
      </c>
      <c r="E6" s="62">
        <v>8</v>
      </c>
      <c r="F6" s="63" t="s">
        <v>789</v>
      </c>
      <c r="G6" s="149">
        <f>19.703281752*0.65</f>
        <v>12.807133138799999</v>
      </c>
      <c r="H6" s="147" t="s">
        <v>770</v>
      </c>
    </row>
    <row r="7" spans="1:8">
      <c r="A7" s="56" t="s">
        <v>935</v>
      </c>
      <c r="B7" s="61" t="s">
        <v>936</v>
      </c>
      <c r="C7" s="57">
        <v>35</v>
      </c>
      <c r="D7" s="57">
        <v>20</v>
      </c>
      <c r="E7" s="62">
        <v>10</v>
      </c>
      <c r="F7" s="63" t="s">
        <v>789</v>
      </c>
      <c r="G7" s="149">
        <f>23.393415276*0.65</f>
        <v>15.205719929399999</v>
      </c>
      <c r="H7" s="147" t="s">
        <v>770</v>
      </c>
    </row>
    <row r="8" spans="1:8" ht="19.05">
      <c r="A8" s="1018" t="s">
        <v>937</v>
      </c>
      <c r="B8" s="1018"/>
      <c r="C8" s="1018"/>
      <c r="D8" s="1018"/>
      <c r="E8" s="1018"/>
      <c r="F8" s="1018"/>
      <c r="G8" s="1018"/>
      <c r="H8" s="148"/>
    </row>
    <row r="9" spans="1:8">
      <c r="A9" s="56" t="s">
        <v>938</v>
      </c>
      <c r="B9" s="57" t="s">
        <v>930</v>
      </c>
      <c r="C9" s="57">
        <v>35</v>
      </c>
      <c r="D9" s="57">
        <v>20</v>
      </c>
      <c r="E9" s="58">
        <v>6</v>
      </c>
      <c r="F9" s="59" t="s">
        <v>789</v>
      </c>
      <c r="G9" s="149">
        <f>17.60430672*0.65</f>
        <v>11.442799368000001</v>
      </c>
      <c r="H9" s="147" t="s">
        <v>770</v>
      </c>
    </row>
    <row r="10" spans="1:8">
      <c r="A10" s="56" t="s">
        <v>939</v>
      </c>
      <c r="B10" s="57" t="s">
        <v>932</v>
      </c>
      <c r="C10" s="57">
        <v>35</v>
      </c>
      <c r="D10" s="57">
        <v>20</v>
      </c>
      <c r="E10" s="58">
        <v>6</v>
      </c>
      <c r="F10" s="60" t="s">
        <v>789</v>
      </c>
      <c r="G10" s="149">
        <f>18.755357544*0.65</f>
        <v>12.1909824036</v>
      </c>
      <c r="H10" s="147" t="s">
        <v>770</v>
      </c>
    </row>
    <row r="11" spans="1:8">
      <c r="A11" s="56" t="s">
        <v>940</v>
      </c>
      <c r="B11" s="61" t="s">
        <v>934</v>
      </c>
      <c r="C11" s="57">
        <v>35</v>
      </c>
      <c r="D11" s="57">
        <v>20</v>
      </c>
      <c r="E11" s="62">
        <v>8</v>
      </c>
      <c r="F11" s="63" t="s">
        <v>789</v>
      </c>
      <c r="G11" s="149">
        <f>20.65120596*0.65</f>
        <v>13.423283873999999</v>
      </c>
      <c r="H11" s="147" t="s">
        <v>770</v>
      </c>
    </row>
    <row r="12" spans="1:8">
      <c r="A12" s="56" t="s">
        <v>941</v>
      </c>
      <c r="B12" s="61" t="s">
        <v>936</v>
      </c>
      <c r="C12" s="57">
        <v>35</v>
      </c>
      <c r="D12" s="57">
        <v>20</v>
      </c>
      <c r="E12" s="62">
        <v>10</v>
      </c>
      <c r="F12" s="64" t="s">
        <v>789</v>
      </c>
      <c r="G12" s="149">
        <f>23.60421*0.65</f>
        <v>15.342736499999999</v>
      </c>
      <c r="H12" s="147" t="s">
        <v>770</v>
      </c>
    </row>
    <row r="13" spans="1:8" ht="19.05">
      <c r="A13" s="1018" t="s">
        <v>942</v>
      </c>
      <c r="B13" s="1018"/>
      <c r="C13" s="1018"/>
      <c r="D13" s="1018"/>
      <c r="E13" s="1018"/>
      <c r="F13" s="1018"/>
      <c r="G13" s="1018"/>
      <c r="H13" s="148"/>
    </row>
    <row r="14" spans="1:8">
      <c r="A14" s="56" t="s">
        <v>943</v>
      </c>
      <c r="B14" s="57" t="s">
        <v>930</v>
      </c>
      <c r="C14" s="57">
        <v>35</v>
      </c>
      <c r="D14" s="57">
        <v>20</v>
      </c>
      <c r="E14" s="58">
        <v>6</v>
      </c>
      <c r="F14" s="59" t="s">
        <v>789</v>
      </c>
      <c r="G14" s="149">
        <f>19.229319648*0.65</f>
        <v>12.4990577712</v>
      </c>
      <c r="H14" s="147" t="s">
        <v>770</v>
      </c>
    </row>
    <row r="15" spans="1:8">
      <c r="A15" s="56" t="s">
        <v>944</v>
      </c>
      <c r="B15" s="57" t="s">
        <v>932</v>
      </c>
      <c r="C15" s="57">
        <v>35</v>
      </c>
      <c r="D15" s="57">
        <v>20</v>
      </c>
      <c r="E15" s="58">
        <v>6</v>
      </c>
      <c r="F15" s="65" t="s">
        <v>789</v>
      </c>
      <c r="G15" s="149">
        <f>20.346516036*0.65</f>
        <v>13.225235423400001</v>
      </c>
      <c r="H15" s="147" t="s">
        <v>770</v>
      </c>
    </row>
    <row r="16" spans="1:8">
      <c r="A16" s="56" t="s">
        <v>945</v>
      </c>
      <c r="B16" s="61" t="s">
        <v>934</v>
      </c>
      <c r="C16" s="57">
        <v>35</v>
      </c>
      <c r="D16" s="57">
        <v>20</v>
      </c>
      <c r="E16" s="62">
        <v>8</v>
      </c>
      <c r="F16" s="63" t="s">
        <v>789</v>
      </c>
      <c r="G16" s="149">
        <f>21.937674528*0.65</f>
        <v>14.2594884432</v>
      </c>
      <c r="H16" s="147" t="s">
        <v>770</v>
      </c>
    </row>
    <row r="17" spans="1:8">
      <c r="A17" s="56" t="s">
        <v>946</v>
      </c>
      <c r="B17" s="61" t="s">
        <v>936</v>
      </c>
      <c r="C17" s="57">
        <v>35</v>
      </c>
      <c r="D17" s="57">
        <v>20</v>
      </c>
      <c r="E17" s="62">
        <v>10</v>
      </c>
      <c r="F17" s="63" t="s">
        <v>789</v>
      </c>
      <c r="G17" s="149">
        <f>22.4175*0.65</f>
        <v>14.571375000000002</v>
      </c>
      <c r="H17" s="147" t="s">
        <v>770</v>
      </c>
    </row>
    <row r="18" spans="1:8" ht="19.05">
      <c r="A18" s="1018" t="s">
        <v>947</v>
      </c>
      <c r="B18" s="1018"/>
      <c r="C18" s="1018"/>
      <c r="D18" s="1018"/>
      <c r="E18" s="1018"/>
      <c r="F18" s="1018"/>
      <c r="G18" s="1018"/>
      <c r="H18" s="148"/>
    </row>
    <row r="19" spans="1:8">
      <c r="A19" s="56" t="s">
        <v>948</v>
      </c>
      <c r="B19" s="66">
        <v>100</v>
      </c>
      <c r="C19" s="57">
        <v>100</v>
      </c>
      <c r="D19" s="57">
        <v>54</v>
      </c>
      <c r="E19" s="58">
        <v>5</v>
      </c>
      <c r="F19" s="65" t="s">
        <v>789</v>
      </c>
      <c r="G19" s="149">
        <f>238.736842105263*0.65</f>
        <v>155.17894736842095</v>
      </c>
      <c r="H19" s="146">
        <f>308.527976842105*0.65</f>
        <v>200.54318494736825</v>
      </c>
    </row>
    <row r="20" spans="1:8" ht="19.05">
      <c r="A20" s="1018" t="s">
        <v>949</v>
      </c>
      <c r="B20" s="1018"/>
      <c r="C20" s="1018"/>
      <c r="D20" s="1018"/>
      <c r="E20" s="1018"/>
      <c r="F20" s="1018"/>
      <c r="G20" s="1018"/>
      <c r="H20" s="148"/>
    </row>
    <row r="21" spans="1:8">
      <c r="A21" s="56" t="s">
        <v>950</v>
      </c>
      <c r="B21" s="66">
        <v>100</v>
      </c>
      <c r="C21" s="61">
        <v>100</v>
      </c>
      <c r="D21" s="57">
        <v>43</v>
      </c>
      <c r="E21" s="58">
        <v>5</v>
      </c>
      <c r="F21" s="65" t="s">
        <v>789</v>
      </c>
      <c r="G21" s="149">
        <f>281.033052631579*0.65</f>
        <v>182.67148421052636</v>
      </c>
      <c r="H21" s="146">
        <f>352.821221052632*0.65</f>
        <v>229.3337936842108</v>
      </c>
    </row>
    <row r="22" spans="1:8" ht="19.05">
      <c r="A22" s="1018" t="s">
        <v>951</v>
      </c>
      <c r="B22" s="1018"/>
      <c r="C22" s="1018"/>
      <c r="D22" s="1018"/>
      <c r="E22" s="1018"/>
      <c r="F22" s="1018"/>
      <c r="G22" s="1018"/>
      <c r="H22" s="148"/>
    </row>
    <row r="23" spans="1:8">
      <c r="A23" s="56" t="s">
        <v>952</v>
      </c>
      <c r="B23" s="66">
        <v>200</v>
      </c>
      <c r="C23" s="57">
        <v>100</v>
      </c>
      <c r="D23" s="57">
        <v>43</v>
      </c>
      <c r="E23" s="58">
        <v>5</v>
      </c>
      <c r="F23" s="65" t="s">
        <v>789</v>
      </c>
      <c r="G23" s="149">
        <f>428.532631578947*0.65</f>
        <v>278.54621052631558</v>
      </c>
      <c r="H23" s="146">
        <f>581.217972631579*0.65</f>
        <v>377.79168221052635</v>
      </c>
    </row>
    <row r="24" spans="1:8" ht="19.05">
      <c r="A24" s="1018" t="s">
        <v>953</v>
      </c>
      <c r="B24" s="1018"/>
      <c r="C24" s="1018"/>
      <c r="D24" s="1018"/>
      <c r="E24" s="1018"/>
      <c r="F24" s="1018"/>
      <c r="G24" s="1018"/>
      <c r="H24" s="148"/>
    </row>
    <row r="25" spans="1:8">
      <c r="A25" s="56" t="s">
        <v>954</v>
      </c>
      <c r="B25" s="66">
        <v>218</v>
      </c>
      <c r="C25" s="57">
        <v>40</v>
      </c>
      <c r="D25" s="57">
        <v>152</v>
      </c>
      <c r="E25" s="58">
        <v>4</v>
      </c>
      <c r="F25" s="65" t="s">
        <v>789</v>
      </c>
      <c r="G25" s="149">
        <f>846.262421052632*0.65</f>
        <v>550.07057368421079</v>
      </c>
      <c r="H25" s="146">
        <f>1080.10694842105*0.65</f>
        <v>702.06951647368248</v>
      </c>
    </row>
    <row r="26" spans="1:8">
      <c r="A26" s="56" t="s">
        <v>955</v>
      </c>
      <c r="B26" s="66">
        <v>260</v>
      </c>
      <c r="C26" s="57">
        <v>40</v>
      </c>
      <c r="D26" s="57">
        <v>152</v>
      </c>
      <c r="E26" s="58">
        <v>4</v>
      </c>
      <c r="F26" s="65" t="s">
        <v>789</v>
      </c>
      <c r="G26" s="149">
        <f>923.772315789474*0.65</f>
        <v>600.45200526315807</v>
      </c>
      <c r="H26" s="146">
        <f>1232.85714631579*0.65</f>
        <v>801.3571451052635</v>
      </c>
    </row>
    <row r="27" spans="1:8" ht="14.95" customHeight="1">
      <c r="A27" s="1018" t="s">
        <v>956</v>
      </c>
      <c r="B27" s="1018"/>
      <c r="C27" s="1018"/>
      <c r="D27" s="1018"/>
      <c r="E27" s="1018"/>
      <c r="F27" s="1018"/>
      <c r="G27" s="1018"/>
      <c r="H27" s="148"/>
    </row>
    <row r="28" spans="1:8">
      <c r="A28" s="56" t="s">
        <v>957</v>
      </c>
      <c r="B28" s="66">
        <v>130</v>
      </c>
      <c r="C28" s="57">
        <v>130</v>
      </c>
      <c r="D28" s="57">
        <v>44</v>
      </c>
      <c r="E28" s="58">
        <v>4</v>
      </c>
      <c r="F28" s="65" t="s">
        <v>789</v>
      </c>
      <c r="G28" s="149">
        <f>358.960736842105*0.65</f>
        <v>233.32447894736825</v>
      </c>
      <c r="H28" s="146">
        <f>439.229434736842*0.65</f>
        <v>285.4991325789473</v>
      </c>
    </row>
    <row r="29" spans="1:8" ht="19.05">
      <c r="A29" s="1018" t="s">
        <v>958</v>
      </c>
      <c r="B29" s="1018"/>
      <c r="C29" s="1018"/>
      <c r="D29" s="1018"/>
      <c r="E29" s="1018"/>
      <c r="F29" s="1018"/>
      <c r="G29" s="1018"/>
      <c r="H29" s="148"/>
    </row>
    <row r="30" spans="1:8">
      <c r="A30" s="56" t="s">
        <v>959</v>
      </c>
      <c r="B30" s="66">
        <v>130</v>
      </c>
      <c r="C30" s="57">
        <v>130</v>
      </c>
      <c r="D30" s="57">
        <v>44</v>
      </c>
      <c r="E30" s="58">
        <v>4</v>
      </c>
      <c r="F30" s="65" t="s">
        <v>789</v>
      </c>
      <c r="G30" s="149">
        <f>533.278421052632*0.65</f>
        <v>346.6309736842108</v>
      </c>
      <c r="H30" s="146">
        <f>639.752068421053*0.65</f>
        <v>415.83884447368445</v>
      </c>
    </row>
    <row r="31" spans="1:8" ht="19.05">
      <c r="A31" s="1018" t="s">
        <v>956</v>
      </c>
      <c r="B31" s="1018"/>
      <c r="C31" s="1018"/>
      <c r="D31" s="1018"/>
      <c r="E31" s="1018"/>
      <c r="F31" s="1018"/>
      <c r="G31" s="1018"/>
      <c r="H31" s="148"/>
    </row>
    <row r="32" spans="1:8">
      <c r="A32" s="56" t="s">
        <v>960</v>
      </c>
      <c r="B32" s="66">
        <v>200</v>
      </c>
      <c r="C32" s="57">
        <v>200</v>
      </c>
      <c r="D32" s="57">
        <v>106</v>
      </c>
      <c r="E32" s="58">
        <v>6</v>
      </c>
      <c r="F32" s="65" t="s">
        <v>789</v>
      </c>
      <c r="G32" s="149">
        <f>1329.86368421053*0.65</f>
        <v>864.4113947368445</v>
      </c>
      <c r="H32" s="146">
        <f>1741.68533368421*0.65</f>
        <v>1132.0954668947365</v>
      </c>
    </row>
    <row r="33" spans="1:8">
      <c r="A33" s="56" t="s">
        <v>961</v>
      </c>
      <c r="B33" s="66">
        <v>100</v>
      </c>
      <c r="C33" s="57">
        <v>100</v>
      </c>
      <c r="D33" s="57">
        <v>104</v>
      </c>
      <c r="E33" s="58">
        <v>4</v>
      </c>
      <c r="F33" s="65" t="s">
        <v>789</v>
      </c>
      <c r="G33" s="149">
        <f>478.866315789474*0.65</f>
        <v>311.26310526315814</v>
      </c>
      <c r="H33" s="146">
        <f>601.26072631579*0.65</f>
        <v>390.81947210526346</v>
      </c>
    </row>
    <row r="34" spans="1:8" ht="19.05">
      <c r="A34" s="1018" t="s">
        <v>962</v>
      </c>
      <c r="B34" s="1018"/>
      <c r="C34" s="1018"/>
      <c r="D34" s="1018"/>
      <c r="E34" s="1018"/>
      <c r="F34" s="1018"/>
      <c r="G34" s="1018"/>
      <c r="H34" s="148"/>
    </row>
    <row r="35" spans="1:8">
      <c r="A35" s="56" t="s">
        <v>963</v>
      </c>
      <c r="B35" s="66">
        <v>127</v>
      </c>
      <c r="C35" s="57">
        <v>60</v>
      </c>
      <c r="D35" s="57">
        <v>100</v>
      </c>
      <c r="E35" s="58">
        <v>4</v>
      </c>
      <c r="F35" s="65" t="s">
        <v>789</v>
      </c>
      <c r="G35" s="149">
        <f>448.765578947369*0.65</f>
        <v>291.69762631578988</v>
      </c>
      <c r="H35" s="147" t="s">
        <v>770</v>
      </c>
    </row>
    <row r="36" spans="1:8" ht="19.05">
      <c r="A36" s="1018" t="s">
        <v>964</v>
      </c>
      <c r="B36" s="1018"/>
      <c r="C36" s="1018"/>
      <c r="D36" s="1018"/>
      <c r="E36" s="1018"/>
      <c r="F36" s="1018"/>
      <c r="G36" s="1018"/>
      <c r="H36" s="148"/>
    </row>
    <row r="37" spans="1:8">
      <c r="A37" s="56" t="s">
        <v>965</v>
      </c>
      <c r="B37" s="66">
        <v>127</v>
      </c>
      <c r="C37" s="57">
        <v>60</v>
      </c>
      <c r="D37" s="57">
        <v>100</v>
      </c>
      <c r="E37" s="58">
        <v>4</v>
      </c>
      <c r="F37" s="65" t="s">
        <v>789</v>
      </c>
      <c r="G37" s="149">
        <f>448.765578947369*0.65</f>
        <v>291.69762631578988</v>
      </c>
      <c r="H37" s="147" t="s">
        <v>770</v>
      </c>
    </row>
    <row r="38" spans="1:8" ht="19.05">
      <c r="A38" s="1018" t="s">
        <v>966</v>
      </c>
      <c r="B38" s="1018"/>
      <c r="C38" s="1018"/>
      <c r="D38" s="1018"/>
      <c r="E38" s="1018"/>
      <c r="F38" s="1018"/>
      <c r="G38" s="1018"/>
      <c r="H38" s="148"/>
    </row>
    <row r="39" spans="1:8">
      <c r="A39" s="56" t="s">
        <v>967</v>
      </c>
      <c r="B39" s="66">
        <v>127</v>
      </c>
      <c r="C39" s="57">
        <v>60</v>
      </c>
      <c r="D39" s="57">
        <v>100</v>
      </c>
      <c r="E39" s="58">
        <v>4</v>
      </c>
      <c r="F39" s="65" t="s">
        <v>789</v>
      </c>
      <c r="G39" s="149">
        <f>580.906421052632*0.65</f>
        <v>377.58917368421083</v>
      </c>
      <c r="H39" s="147" t="s">
        <v>770</v>
      </c>
    </row>
    <row r="40" spans="1:8">
      <c r="A40" s="56" t="s">
        <v>968</v>
      </c>
      <c r="B40" s="66">
        <v>127</v>
      </c>
      <c r="C40" s="57">
        <v>60</v>
      </c>
      <c r="D40" s="57">
        <v>100</v>
      </c>
      <c r="E40" s="58">
        <v>4</v>
      </c>
      <c r="F40" s="65" t="s">
        <v>789</v>
      </c>
      <c r="G40" s="149">
        <f>580.906421052632*0.65</f>
        <v>377.58917368421083</v>
      </c>
      <c r="H40" s="147" t="s">
        <v>770</v>
      </c>
    </row>
    <row r="41" spans="1:8">
      <c r="A41" s="56" t="s">
        <v>969</v>
      </c>
      <c r="B41" s="66">
        <v>169</v>
      </c>
      <c r="C41" s="57">
        <v>60</v>
      </c>
      <c r="D41" s="57">
        <v>100</v>
      </c>
      <c r="E41" s="58">
        <v>4</v>
      </c>
      <c r="F41" s="65" t="s">
        <v>789</v>
      </c>
      <c r="G41" s="149">
        <f>750.071368421053*0.65</f>
        <v>487.54638947368443</v>
      </c>
      <c r="H41" s="147" t="s">
        <v>770</v>
      </c>
    </row>
    <row r="42" spans="1:8" ht="14.95" customHeight="1">
      <c r="A42" s="1018" t="s">
        <v>970</v>
      </c>
      <c r="B42" s="1018"/>
      <c r="C42" s="1018"/>
      <c r="D42" s="1018"/>
      <c r="E42" s="1018"/>
      <c r="F42" s="1018"/>
      <c r="G42" s="1018"/>
      <c r="H42" s="148"/>
    </row>
    <row r="43" spans="1:8">
      <c r="A43" s="56" t="s">
        <v>971</v>
      </c>
      <c r="B43" s="66">
        <v>190</v>
      </c>
      <c r="C43" s="57">
        <v>58</v>
      </c>
      <c r="D43" s="57"/>
      <c r="E43" s="58">
        <v>3</v>
      </c>
      <c r="F43" s="65" t="s">
        <v>789</v>
      </c>
      <c r="G43" s="149">
        <f>905.469157894737*0.65</f>
        <v>588.55495263157911</v>
      </c>
      <c r="H43" s="146">
        <f>971.14626*0.65</f>
        <v>631.24506900000006</v>
      </c>
    </row>
    <row r="44" spans="1:8" ht="14.95" customHeight="1">
      <c r="A44" s="1018" t="s">
        <v>972</v>
      </c>
      <c r="B44" s="1018"/>
      <c r="C44" s="1018"/>
      <c r="D44" s="1018"/>
      <c r="E44" s="1018"/>
      <c r="F44" s="1018"/>
      <c r="G44" s="1018"/>
      <c r="H44" s="148"/>
    </row>
    <row r="45" spans="1:8">
      <c r="A45" s="56" t="s">
        <v>973</v>
      </c>
      <c r="B45" s="66">
        <v>127</v>
      </c>
      <c r="C45" s="57">
        <v>127</v>
      </c>
      <c r="D45" s="57"/>
      <c r="E45" s="58">
        <v>6</v>
      </c>
      <c r="F45" s="64" t="s">
        <v>789</v>
      </c>
      <c r="G45" s="149">
        <f>347.222842105263*0.65</f>
        <v>225.69484736842097</v>
      </c>
      <c r="H45" s="147" t="s">
        <v>770</v>
      </c>
    </row>
    <row r="46" spans="1:8" ht="14.95" customHeight="1">
      <c r="A46" s="1018" t="s">
        <v>974</v>
      </c>
      <c r="B46" s="1018"/>
      <c r="C46" s="1018"/>
      <c r="D46" s="1018"/>
      <c r="E46" s="1018"/>
      <c r="F46" s="1018"/>
      <c r="G46" s="1018"/>
      <c r="H46" s="148"/>
    </row>
    <row r="47" spans="1:8">
      <c r="A47" s="56" t="s">
        <v>975</v>
      </c>
      <c r="B47" s="66">
        <v>90</v>
      </c>
      <c r="C47" s="57">
        <v>95</v>
      </c>
      <c r="D47" s="57">
        <v>95</v>
      </c>
      <c r="E47" s="58">
        <v>2</v>
      </c>
      <c r="F47" s="64" t="s">
        <v>789</v>
      </c>
      <c r="G47" s="149">
        <f>94.8024*0.65</f>
        <v>61.621560000000002</v>
      </c>
      <c r="H47" s="147" t="s">
        <v>770</v>
      </c>
    </row>
    <row r="48" spans="1:8" ht="14.95" customHeight="1">
      <c r="A48" s="1018" t="s">
        <v>976</v>
      </c>
      <c r="B48" s="1018"/>
      <c r="C48" s="1018"/>
      <c r="D48" s="1018"/>
      <c r="E48" s="1018"/>
      <c r="F48" s="1018"/>
      <c r="G48" s="1018"/>
      <c r="H48" s="148"/>
    </row>
    <row r="49" spans="1:9">
      <c r="A49" s="56" t="s">
        <v>977</v>
      </c>
      <c r="B49" s="66">
        <v>125</v>
      </c>
      <c r="C49" s="57">
        <v>45</v>
      </c>
      <c r="D49" s="57">
        <v>100</v>
      </c>
      <c r="E49" s="58">
        <v>2</v>
      </c>
      <c r="F49" s="64" t="s">
        <v>789</v>
      </c>
      <c r="G49" s="149">
        <f>114.14844*0.65</f>
        <v>74.196485999999993</v>
      </c>
      <c r="H49" s="147" t="s">
        <v>770</v>
      </c>
    </row>
    <row r="50" spans="1:9" ht="14.95" customHeight="1">
      <c r="A50" s="1018" t="s">
        <v>978</v>
      </c>
      <c r="B50" s="1018"/>
      <c r="C50" s="1018"/>
      <c r="D50" s="1018"/>
      <c r="E50" s="1018"/>
      <c r="F50" s="1018"/>
      <c r="G50" s="1018"/>
      <c r="H50" s="148"/>
    </row>
    <row r="51" spans="1:9">
      <c r="A51" s="56" t="s">
        <v>979</v>
      </c>
      <c r="B51" s="66">
        <v>75</v>
      </c>
      <c r="C51" s="61">
        <v>40</v>
      </c>
      <c r="D51" s="67">
        <v>75</v>
      </c>
      <c r="E51" s="62">
        <v>4</v>
      </c>
      <c r="F51" s="64" t="s">
        <v>789</v>
      </c>
      <c r="G51" s="149">
        <f>135.69444*0.65</f>
        <v>88.201385999999999</v>
      </c>
      <c r="H51" s="147" t="s">
        <v>770</v>
      </c>
    </row>
    <row r="52" spans="1:9" ht="14.95" customHeight="1">
      <c r="A52" s="1018" t="s">
        <v>980</v>
      </c>
      <c r="B52" s="1018"/>
      <c r="C52" s="1018"/>
      <c r="D52" s="1018"/>
      <c r="E52" s="1018"/>
      <c r="F52" s="1018"/>
      <c r="G52" s="1018"/>
      <c r="H52" s="148"/>
    </row>
    <row r="53" spans="1:9">
      <c r="A53" s="56" t="s">
        <v>981</v>
      </c>
      <c r="B53" s="66">
        <v>120</v>
      </c>
      <c r="C53" s="61">
        <v>44</v>
      </c>
      <c r="D53" s="68">
        <v>75</v>
      </c>
      <c r="E53" s="62">
        <v>2</v>
      </c>
      <c r="F53" s="64" t="s">
        <v>789</v>
      </c>
      <c r="G53" s="149">
        <f>239.70492*0.65</f>
        <v>155.808198</v>
      </c>
      <c r="H53" s="147" t="s">
        <v>770</v>
      </c>
    </row>
    <row r="56" spans="1:9">
      <c r="I56" t="s">
        <v>983</v>
      </c>
    </row>
  </sheetData>
  <mergeCells count="27">
    <mergeCell ref="H1:H2"/>
    <mergeCell ref="A3:G3"/>
    <mergeCell ref="A8:G8"/>
    <mergeCell ref="A13:G13"/>
    <mergeCell ref="A27:G27"/>
    <mergeCell ref="A20:G20"/>
    <mergeCell ref="A22:G22"/>
    <mergeCell ref="A24:G24"/>
    <mergeCell ref="A18:G18"/>
    <mergeCell ref="A1:A2"/>
    <mergeCell ref="B1:B2"/>
    <mergeCell ref="C1:C2"/>
    <mergeCell ref="D1:D2"/>
    <mergeCell ref="E1:E2"/>
    <mergeCell ref="F1:F2"/>
    <mergeCell ref="G1:G2"/>
    <mergeCell ref="A29:G29"/>
    <mergeCell ref="A48:G48"/>
    <mergeCell ref="A50:G50"/>
    <mergeCell ref="A52:G52"/>
    <mergeCell ref="A34:G34"/>
    <mergeCell ref="A36:G36"/>
    <mergeCell ref="A38:G38"/>
    <mergeCell ref="A42:G42"/>
    <mergeCell ref="A44:G44"/>
    <mergeCell ref="A46:G46"/>
    <mergeCell ref="A31:G3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0"/>
  <dimension ref="A1:AC675"/>
  <sheetViews>
    <sheetView workbookViewId="0">
      <selection activeCell="D4" sqref="D4"/>
    </sheetView>
  </sheetViews>
  <sheetFormatPr defaultRowHeight="14.3"/>
  <cols>
    <col min="1" max="1" width="14" customWidth="1"/>
    <col min="7" max="7" width="12.375" customWidth="1"/>
    <col min="16" max="16" width="9.125" customWidth="1"/>
    <col min="17" max="17" width="19.875" customWidth="1"/>
    <col min="18" max="18" width="11.125" customWidth="1"/>
    <col min="19" max="19" width="14.625" customWidth="1"/>
    <col min="20" max="20" width="14.375" customWidth="1"/>
    <col min="22" max="22" width="17.875" customWidth="1"/>
    <col min="23" max="23" width="15.375" customWidth="1"/>
    <col min="26" max="26" width="50.375" customWidth="1"/>
    <col min="27" max="27" width="6" bestFit="1" customWidth="1"/>
    <col min="28" max="28" width="8.375" bestFit="1" customWidth="1"/>
    <col min="29" max="29" width="11.875" customWidth="1"/>
  </cols>
  <sheetData>
    <row r="1" spans="1:28">
      <c r="R1" s="6"/>
      <c r="S1" s="104" t="s">
        <v>986</v>
      </c>
      <c r="T1" s="101"/>
      <c r="V1" s="103" t="s">
        <v>1041</v>
      </c>
      <c r="W1" t="s">
        <v>1043</v>
      </c>
      <c r="X1" s="6" t="s">
        <v>1042</v>
      </c>
      <c r="Z1" s="28" t="s">
        <v>683</v>
      </c>
      <c r="AA1" s="6" t="s">
        <v>1045</v>
      </c>
      <c r="AB1" s="6" t="s">
        <v>1196</v>
      </c>
    </row>
    <row r="2" spans="1:28">
      <c r="A2" s="1042" t="s">
        <v>748</v>
      </c>
      <c r="B2" s="1042"/>
      <c r="C2" s="1042"/>
      <c r="D2" s="1042"/>
      <c r="E2" s="1042"/>
      <c r="F2" s="1042"/>
      <c r="G2" s="1043"/>
      <c r="H2" s="1044"/>
      <c r="I2" s="1044"/>
      <c r="J2" s="1044"/>
      <c r="K2" s="1045" t="s">
        <v>749</v>
      </c>
      <c r="L2" s="1046"/>
      <c r="M2" s="1046"/>
      <c r="N2" s="1046"/>
      <c r="O2" s="1046"/>
      <c r="P2" s="1046"/>
      <c r="R2" s="6" t="s">
        <v>1039</v>
      </c>
      <c r="S2" s="6" t="s">
        <v>742</v>
      </c>
      <c r="T2" s="6" t="s">
        <v>743</v>
      </c>
      <c r="V2" s="6" t="s">
        <v>745</v>
      </c>
      <c r="W2" s="35" t="s">
        <v>1044</v>
      </c>
      <c r="X2" s="6"/>
      <c r="Z2" s="7" t="s">
        <v>64</v>
      </c>
      <c r="AA2" s="6">
        <v>0.16200000000000001</v>
      </c>
      <c r="AB2" s="6">
        <v>120</v>
      </c>
    </row>
    <row r="3" spans="1:28" ht="19.05">
      <c r="A3" s="11">
        <v>0.5</v>
      </c>
      <c r="B3" s="11">
        <v>0.65</v>
      </c>
      <c r="C3" s="11">
        <v>0.75</v>
      </c>
      <c r="D3" s="11">
        <v>0.9</v>
      </c>
      <c r="E3" s="11">
        <v>1.1000000000000001</v>
      </c>
      <c r="F3" s="11">
        <v>1.4</v>
      </c>
      <c r="G3" s="105">
        <v>1.9</v>
      </c>
      <c r="H3" s="37">
        <v>1.1000000000000001</v>
      </c>
      <c r="I3" s="37">
        <v>1.4</v>
      </c>
      <c r="J3" s="37">
        <v>2</v>
      </c>
      <c r="K3" s="106">
        <v>0.55000000000000004</v>
      </c>
      <c r="L3" s="39">
        <v>0.8</v>
      </c>
      <c r="M3" s="39">
        <v>1</v>
      </c>
      <c r="N3" s="39">
        <v>1.2</v>
      </c>
      <c r="O3" s="39">
        <v>1.5</v>
      </c>
      <c r="P3" s="39">
        <v>2</v>
      </c>
      <c r="R3" s="10" t="s">
        <v>987</v>
      </c>
      <c r="S3" s="6">
        <v>50</v>
      </c>
      <c r="T3" s="6">
        <v>35</v>
      </c>
      <c r="V3" s="6">
        <v>80</v>
      </c>
      <c r="W3" s="12">
        <v>92</v>
      </c>
      <c r="X3" s="6">
        <v>82</v>
      </c>
      <c r="Z3" s="10" t="s">
        <v>65</v>
      </c>
      <c r="AA3" s="6">
        <v>0.20200000000000001</v>
      </c>
      <c r="AB3" s="6">
        <v>120</v>
      </c>
    </row>
    <row r="4" spans="1:28">
      <c r="A4" s="6">
        <v>65</v>
      </c>
      <c r="B4" s="6">
        <v>65</v>
      </c>
      <c r="C4" s="6">
        <v>65</v>
      </c>
      <c r="D4" s="6">
        <v>65</v>
      </c>
      <c r="E4" s="6">
        <v>65</v>
      </c>
      <c r="F4" s="6">
        <v>65</v>
      </c>
      <c r="G4" s="38">
        <v>67</v>
      </c>
      <c r="H4" s="40">
        <v>55</v>
      </c>
      <c r="I4" s="40">
        <v>55</v>
      </c>
      <c r="J4" s="40">
        <v>57</v>
      </c>
      <c r="K4" s="107">
        <v>240</v>
      </c>
      <c r="L4" s="41">
        <v>240</v>
      </c>
      <c r="M4" s="41">
        <v>240</v>
      </c>
      <c r="N4" s="41">
        <v>240</v>
      </c>
      <c r="O4" s="41">
        <v>240</v>
      </c>
      <c r="P4" s="41">
        <v>240</v>
      </c>
      <c r="R4" s="10" t="s">
        <v>988</v>
      </c>
      <c r="S4" s="6">
        <v>50</v>
      </c>
      <c r="T4" s="6">
        <v>50</v>
      </c>
      <c r="V4" s="6">
        <v>90</v>
      </c>
      <c r="X4" s="6">
        <v>96</v>
      </c>
      <c r="Z4" s="10" t="s">
        <v>570</v>
      </c>
      <c r="AA4" s="6">
        <v>0.22800000000000001</v>
      </c>
      <c r="AB4" s="6">
        <v>120</v>
      </c>
    </row>
    <row r="5" spans="1:28">
      <c r="G5" s="48" t="s">
        <v>1040</v>
      </c>
      <c r="H5" s="40">
        <v>47</v>
      </c>
      <c r="I5" s="40">
        <v>47</v>
      </c>
      <c r="J5" s="40">
        <v>47</v>
      </c>
      <c r="R5" s="10" t="s">
        <v>989</v>
      </c>
      <c r="S5" s="6">
        <v>50</v>
      </c>
      <c r="T5" s="6">
        <v>60</v>
      </c>
      <c r="V5" s="6">
        <v>110</v>
      </c>
      <c r="X5" s="6">
        <v>54</v>
      </c>
      <c r="Z5" s="10" t="s">
        <v>66</v>
      </c>
      <c r="AA5" s="6">
        <v>0.189</v>
      </c>
      <c r="AB5" s="6">
        <v>120</v>
      </c>
    </row>
    <row r="6" spans="1:28">
      <c r="R6" s="6" t="s">
        <v>990</v>
      </c>
      <c r="S6" s="6">
        <v>60</v>
      </c>
      <c r="T6" s="6">
        <v>40</v>
      </c>
      <c r="V6" s="6">
        <v>130</v>
      </c>
      <c r="X6" s="6"/>
      <c r="Z6" s="10" t="s">
        <v>67</v>
      </c>
      <c r="AA6" s="6">
        <v>0.35399999999999998</v>
      </c>
      <c r="AB6" s="6">
        <v>120</v>
      </c>
    </row>
    <row r="7" spans="1:28">
      <c r="R7" s="10" t="s">
        <v>991</v>
      </c>
      <c r="S7" s="6">
        <v>100</v>
      </c>
      <c r="T7" s="6">
        <v>50</v>
      </c>
      <c r="V7" s="6">
        <v>180</v>
      </c>
      <c r="X7" s="6">
        <v>152</v>
      </c>
      <c r="Z7" s="10" t="s">
        <v>571</v>
      </c>
      <c r="AA7" s="6">
        <v>0.39800000000000002</v>
      </c>
      <c r="AB7" s="6">
        <v>120</v>
      </c>
    </row>
    <row r="8" spans="1:28">
      <c r="J8">
        <v>105</v>
      </c>
      <c r="R8" s="10" t="s">
        <v>992</v>
      </c>
      <c r="S8" s="6">
        <v>100</v>
      </c>
      <c r="T8" s="6">
        <v>35</v>
      </c>
      <c r="V8" s="6">
        <v>230</v>
      </c>
      <c r="X8" s="6">
        <v>116</v>
      </c>
      <c r="Z8" s="10" t="s">
        <v>572</v>
      </c>
      <c r="AA8" s="6">
        <v>0.40699999999999997</v>
      </c>
      <c r="AB8" s="6">
        <v>120</v>
      </c>
    </row>
    <row r="9" spans="1:28">
      <c r="A9" s="1043" t="s">
        <v>1047</v>
      </c>
      <c r="B9" s="1047"/>
      <c r="C9" s="1047"/>
      <c r="D9" s="1048"/>
      <c r="R9" s="10" t="s">
        <v>993</v>
      </c>
      <c r="S9" s="6">
        <v>100</v>
      </c>
      <c r="T9" s="6">
        <v>60</v>
      </c>
      <c r="V9" s="6">
        <v>280</v>
      </c>
      <c r="X9" s="6">
        <v>116</v>
      </c>
      <c r="Z9" s="10" t="s">
        <v>68</v>
      </c>
      <c r="AA9" s="6">
        <v>0.45500000000000002</v>
      </c>
      <c r="AB9" s="6">
        <v>120</v>
      </c>
    </row>
    <row r="10" spans="1:28">
      <c r="A10" s="6"/>
      <c r="B10" s="101" t="s">
        <v>761</v>
      </c>
      <c r="C10" s="101" t="s">
        <v>1052</v>
      </c>
      <c r="D10" s="101" t="s">
        <v>1053</v>
      </c>
      <c r="R10" s="10" t="s">
        <v>994</v>
      </c>
      <c r="S10" s="6">
        <v>100</v>
      </c>
      <c r="T10" s="6">
        <v>65</v>
      </c>
      <c r="V10" s="6">
        <v>330</v>
      </c>
      <c r="X10" s="6">
        <v>55</v>
      </c>
      <c r="Z10" s="10" t="s">
        <v>69</v>
      </c>
      <c r="AA10" s="6">
        <v>0.52900000000000003</v>
      </c>
      <c r="AB10" s="6">
        <v>120</v>
      </c>
    </row>
    <row r="11" spans="1:28">
      <c r="A11" s="6" t="s">
        <v>1048</v>
      </c>
      <c r="B11" s="6">
        <v>1.03</v>
      </c>
      <c r="C11" s="6">
        <v>1</v>
      </c>
      <c r="D11" s="6"/>
      <c r="R11" s="10" t="s">
        <v>995</v>
      </c>
      <c r="S11" s="6">
        <v>100</v>
      </c>
      <c r="T11" s="6">
        <v>80</v>
      </c>
      <c r="V11" s="6">
        <v>430</v>
      </c>
      <c r="X11" s="6"/>
      <c r="Z11" s="10" t="s">
        <v>70</v>
      </c>
      <c r="AA11" s="6">
        <v>0.54700000000000004</v>
      </c>
      <c r="AB11" s="6">
        <v>120</v>
      </c>
    </row>
    <row r="12" spans="1:28">
      <c r="A12" s="6" t="s">
        <v>1049</v>
      </c>
      <c r="B12" s="6">
        <v>1</v>
      </c>
      <c r="C12" s="6">
        <v>1</v>
      </c>
      <c r="D12" s="6">
        <v>1</v>
      </c>
      <c r="R12" s="10" t="s">
        <v>996</v>
      </c>
      <c r="S12" s="6">
        <v>100</v>
      </c>
      <c r="T12" s="6">
        <v>100</v>
      </c>
      <c r="V12" s="6">
        <v>530</v>
      </c>
      <c r="X12" s="6">
        <v>132</v>
      </c>
      <c r="Z12" s="10" t="s">
        <v>71</v>
      </c>
      <c r="AA12" s="6">
        <v>0.62</v>
      </c>
      <c r="AB12" s="6">
        <v>120</v>
      </c>
    </row>
    <row r="13" spans="1:28">
      <c r="A13" s="6" t="s">
        <v>1050</v>
      </c>
      <c r="B13" s="6">
        <v>1</v>
      </c>
      <c r="C13" s="6">
        <v>1</v>
      </c>
      <c r="D13" s="6"/>
      <c r="H13" t="s">
        <v>2051</v>
      </c>
      <c r="R13" s="10" t="s">
        <v>997</v>
      </c>
      <c r="S13" s="6">
        <v>150</v>
      </c>
      <c r="T13" s="6">
        <v>35</v>
      </c>
      <c r="V13" s="6">
        <v>630</v>
      </c>
      <c r="X13" s="6">
        <v>96</v>
      </c>
      <c r="Z13" s="10" t="s">
        <v>72</v>
      </c>
      <c r="AA13" s="6">
        <v>0.76</v>
      </c>
      <c r="AB13" s="6">
        <v>120</v>
      </c>
    </row>
    <row r="14" spans="1:28">
      <c r="A14" s="6" t="s">
        <v>1051</v>
      </c>
      <c r="B14" s="6">
        <v>1</v>
      </c>
      <c r="C14" s="6"/>
      <c r="D14" s="6"/>
      <c r="R14" s="10" t="s">
        <v>998</v>
      </c>
      <c r="S14" s="6">
        <v>150</v>
      </c>
      <c r="T14" s="6">
        <v>50</v>
      </c>
      <c r="X14" s="6">
        <v>87</v>
      </c>
      <c r="Z14" s="10" t="s">
        <v>73</v>
      </c>
      <c r="AA14" s="6">
        <v>0.98799999999999999</v>
      </c>
      <c r="AB14" s="6">
        <v>120</v>
      </c>
    </row>
    <row r="15" spans="1:28">
      <c r="A15" s="6" t="s">
        <v>1054</v>
      </c>
      <c r="B15" s="6">
        <v>1</v>
      </c>
      <c r="C15" s="6"/>
      <c r="D15" s="6"/>
      <c r="R15" s="10" t="s">
        <v>999</v>
      </c>
      <c r="S15" s="6">
        <v>150</v>
      </c>
      <c r="T15" s="6">
        <v>80</v>
      </c>
      <c r="X15" s="6"/>
      <c r="Z15" s="10" t="s">
        <v>74</v>
      </c>
      <c r="AA15" s="6">
        <v>0.78</v>
      </c>
      <c r="AB15" s="6">
        <v>120</v>
      </c>
    </row>
    <row r="16" spans="1:28">
      <c r="A16" s="154" t="s">
        <v>1198</v>
      </c>
      <c r="B16" s="154">
        <v>1.2</v>
      </c>
      <c r="C16" s="154">
        <v>1.5</v>
      </c>
      <c r="D16" s="155"/>
      <c r="R16" s="10"/>
      <c r="S16" s="6"/>
      <c r="T16" s="6"/>
      <c r="X16" s="6"/>
      <c r="Z16" s="10"/>
      <c r="AA16" s="6"/>
      <c r="AB16" s="6"/>
    </row>
    <row r="17" spans="1:28">
      <c r="A17" s="154" t="s">
        <v>1197</v>
      </c>
      <c r="B17" s="154">
        <v>1.06</v>
      </c>
      <c r="C17" s="154">
        <v>1</v>
      </c>
      <c r="D17" s="155"/>
      <c r="R17" s="10" t="s">
        <v>1000</v>
      </c>
      <c r="S17" s="6">
        <v>150</v>
      </c>
      <c r="T17" s="6">
        <v>100</v>
      </c>
      <c r="X17" s="6">
        <v>40</v>
      </c>
      <c r="Z17" s="10" t="s">
        <v>585</v>
      </c>
      <c r="AA17" s="6">
        <v>0.83199999999999996</v>
      </c>
      <c r="AB17" s="6">
        <v>120</v>
      </c>
    </row>
    <row r="18" spans="1:28">
      <c r="A18" s="154"/>
      <c r="B18" s="154"/>
      <c r="C18" s="154"/>
      <c r="D18" s="155"/>
      <c r="R18" s="10" t="s">
        <v>1001</v>
      </c>
      <c r="S18" s="6">
        <v>150</v>
      </c>
      <c r="T18" s="6">
        <v>150</v>
      </c>
      <c r="X18" s="6">
        <v>30</v>
      </c>
      <c r="Z18" s="10" t="s">
        <v>586</v>
      </c>
      <c r="AA18" s="6">
        <v>0.86399999999999999</v>
      </c>
      <c r="AB18" s="6">
        <v>120</v>
      </c>
    </row>
    <row r="19" spans="1:28">
      <c r="R19" s="10" t="s">
        <v>1002</v>
      </c>
      <c r="S19" s="6">
        <v>200</v>
      </c>
      <c r="T19" s="6">
        <v>35</v>
      </c>
      <c r="Z19" s="10" t="s">
        <v>75</v>
      </c>
      <c r="AA19" s="6">
        <v>0.93500000000000005</v>
      </c>
      <c r="AB19" s="6">
        <v>120</v>
      </c>
    </row>
    <row r="20" spans="1:28">
      <c r="R20" s="10" t="s">
        <v>1003</v>
      </c>
      <c r="S20" s="6">
        <v>200</v>
      </c>
      <c r="T20" s="6">
        <v>50</v>
      </c>
      <c r="Z20" s="10" t="s">
        <v>76</v>
      </c>
      <c r="AA20" s="6">
        <v>1.042</v>
      </c>
      <c r="AB20" s="6">
        <v>120</v>
      </c>
    </row>
    <row r="21" spans="1:28">
      <c r="R21" s="10" t="s">
        <v>1004</v>
      </c>
      <c r="S21" s="6">
        <v>200</v>
      </c>
      <c r="T21" s="6">
        <v>60</v>
      </c>
      <c r="Z21" s="10" t="s">
        <v>77</v>
      </c>
      <c r="AA21" s="6">
        <v>1.3</v>
      </c>
      <c r="AB21" s="6">
        <v>120</v>
      </c>
    </row>
    <row r="22" spans="1:28">
      <c r="R22" s="10" t="s">
        <v>1005</v>
      </c>
      <c r="S22" s="6">
        <v>200</v>
      </c>
      <c r="T22" s="6">
        <v>65</v>
      </c>
      <c r="Z22" s="10" t="s">
        <v>78</v>
      </c>
      <c r="AA22" s="6">
        <v>1.5589999999999999</v>
      </c>
      <c r="AB22" s="6">
        <v>120</v>
      </c>
    </row>
    <row r="23" spans="1:28">
      <c r="A23" s="6" t="s">
        <v>2038</v>
      </c>
      <c r="B23" s="6"/>
      <c r="R23" s="10" t="s">
        <v>1006</v>
      </c>
      <c r="S23" s="6">
        <v>200</v>
      </c>
      <c r="T23" s="6">
        <v>80</v>
      </c>
      <c r="Z23" s="10" t="s">
        <v>79</v>
      </c>
      <c r="AA23" s="6">
        <v>1.046</v>
      </c>
      <c r="AB23" s="6">
        <v>120</v>
      </c>
    </row>
    <row r="24" spans="1:28">
      <c r="A24" s="6" t="s">
        <v>2039</v>
      </c>
      <c r="B24" s="6">
        <v>80</v>
      </c>
      <c r="R24" s="10" t="s">
        <v>1007</v>
      </c>
      <c r="S24" s="6">
        <v>200</v>
      </c>
      <c r="T24" s="6">
        <v>100</v>
      </c>
      <c r="Z24" s="10" t="s">
        <v>80</v>
      </c>
      <c r="AA24" s="6">
        <v>1.2450000000000001</v>
      </c>
      <c r="AB24" s="6">
        <v>120</v>
      </c>
    </row>
    <row r="25" spans="1:28">
      <c r="A25" s="6" t="s">
        <v>2040</v>
      </c>
      <c r="B25" s="6">
        <v>80</v>
      </c>
      <c r="R25" s="10" t="s">
        <v>1008</v>
      </c>
      <c r="S25" s="6">
        <v>200</v>
      </c>
      <c r="T25" s="6">
        <v>150</v>
      </c>
      <c r="Z25" s="10" t="s">
        <v>81</v>
      </c>
      <c r="AA25" s="6">
        <v>1.3420000000000001</v>
      </c>
      <c r="AB25" s="6">
        <v>120</v>
      </c>
    </row>
    <row r="26" spans="1:28">
      <c r="A26" s="6" t="s">
        <v>2041</v>
      </c>
      <c r="B26" s="6">
        <v>80</v>
      </c>
      <c r="R26" s="10" t="s">
        <v>1009</v>
      </c>
      <c r="S26" s="6">
        <v>200</v>
      </c>
      <c r="T26" s="6">
        <v>200</v>
      </c>
      <c r="Z26" s="10" t="s">
        <v>82</v>
      </c>
      <c r="AA26" s="6">
        <v>1.456</v>
      </c>
      <c r="AB26" s="6">
        <v>120</v>
      </c>
    </row>
    <row r="27" spans="1:28">
      <c r="A27" s="6" t="s">
        <v>2042</v>
      </c>
      <c r="B27" s="6">
        <v>80</v>
      </c>
      <c r="R27" s="10" t="s">
        <v>1010</v>
      </c>
      <c r="S27" s="6">
        <v>250</v>
      </c>
      <c r="T27" s="6">
        <v>50</v>
      </c>
      <c r="Z27" s="10" t="s">
        <v>83</v>
      </c>
      <c r="AA27" s="6">
        <v>1.585</v>
      </c>
      <c r="AB27" s="6">
        <v>120</v>
      </c>
    </row>
    <row r="28" spans="1:28">
      <c r="A28" s="6" t="s">
        <v>2043</v>
      </c>
      <c r="B28" s="6">
        <v>80</v>
      </c>
      <c r="R28" s="10" t="s">
        <v>1011</v>
      </c>
      <c r="S28" s="6">
        <v>250</v>
      </c>
      <c r="T28" s="6">
        <v>80</v>
      </c>
      <c r="Z28" s="10" t="s">
        <v>84</v>
      </c>
      <c r="AA28" s="6">
        <v>1.379</v>
      </c>
      <c r="AB28" s="6">
        <v>120</v>
      </c>
    </row>
    <row r="29" spans="1:28">
      <c r="A29" s="6" t="s">
        <v>2044</v>
      </c>
      <c r="B29" s="6">
        <v>80</v>
      </c>
      <c r="R29" s="10" t="s">
        <v>1012</v>
      </c>
      <c r="S29" s="6">
        <v>250</v>
      </c>
      <c r="T29" s="6">
        <v>100</v>
      </c>
      <c r="Z29" s="10" t="s">
        <v>587</v>
      </c>
      <c r="AA29" s="6">
        <v>1.4470000000000001</v>
      </c>
      <c r="AB29" s="6">
        <v>120</v>
      </c>
    </row>
    <row r="30" spans="1:28">
      <c r="A30" s="6" t="s">
        <v>2045</v>
      </c>
      <c r="B30" s="6">
        <v>80</v>
      </c>
      <c r="R30" s="10" t="s">
        <v>1013</v>
      </c>
      <c r="S30" s="6">
        <v>300</v>
      </c>
      <c r="T30" s="6">
        <v>50</v>
      </c>
      <c r="Z30" s="10" t="s">
        <v>588</v>
      </c>
      <c r="AA30" s="6">
        <v>1.476</v>
      </c>
      <c r="AB30" s="6">
        <v>120</v>
      </c>
    </row>
    <row r="31" spans="1:28">
      <c r="A31" s="6" t="s">
        <v>2046</v>
      </c>
      <c r="B31" s="6">
        <v>80</v>
      </c>
      <c r="R31" s="10" t="s">
        <v>1014</v>
      </c>
      <c r="S31" s="6">
        <v>300</v>
      </c>
      <c r="T31" s="6">
        <v>60</v>
      </c>
      <c r="Z31" s="10" t="s">
        <v>85</v>
      </c>
      <c r="AA31" s="6">
        <v>1.5840000000000001</v>
      </c>
      <c r="AB31" s="6">
        <v>120</v>
      </c>
    </row>
    <row r="32" spans="1:28">
      <c r="A32" s="6" t="s">
        <v>22</v>
      </c>
      <c r="B32" s="6">
        <v>80</v>
      </c>
      <c r="R32" s="10" t="s">
        <v>1015</v>
      </c>
      <c r="S32" s="6">
        <v>300</v>
      </c>
      <c r="T32" s="6">
        <v>65</v>
      </c>
      <c r="Z32" s="10" t="s">
        <v>86</v>
      </c>
      <c r="AA32" s="6">
        <v>1.7210000000000001</v>
      </c>
      <c r="AB32" s="6">
        <v>120</v>
      </c>
    </row>
    <row r="33" spans="1:28">
      <c r="A33" s="6" t="s">
        <v>1054</v>
      </c>
      <c r="B33" s="6">
        <v>80</v>
      </c>
      <c r="R33" s="10" t="s">
        <v>1016</v>
      </c>
      <c r="S33" s="6">
        <v>300</v>
      </c>
      <c r="T33" s="6">
        <v>80</v>
      </c>
      <c r="Z33" s="10" t="s">
        <v>87</v>
      </c>
      <c r="AA33" s="6">
        <v>2.069</v>
      </c>
      <c r="AB33" s="6">
        <v>120</v>
      </c>
    </row>
    <row r="34" spans="1:28">
      <c r="A34" s="6" t="s">
        <v>2047</v>
      </c>
      <c r="B34" s="6">
        <v>80</v>
      </c>
      <c r="R34" s="10" t="s">
        <v>1017</v>
      </c>
      <c r="S34" s="6">
        <v>300</v>
      </c>
      <c r="T34" s="6">
        <v>100</v>
      </c>
      <c r="Z34" s="10" t="s">
        <v>88</v>
      </c>
      <c r="AA34" s="6">
        <v>2.2000000000000002</v>
      </c>
      <c r="AB34" s="6">
        <v>120</v>
      </c>
    </row>
    <row r="35" spans="1:28">
      <c r="A35" s="6" t="s">
        <v>2048</v>
      </c>
      <c r="B35" s="6">
        <v>80</v>
      </c>
      <c r="R35" s="10" t="s">
        <v>1018</v>
      </c>
      <c r="S35" s="6">
        <v>300</v>
      </c>
      <c r="T35" s="6">
        <v>150</v>
      </c>
      <c r="Z35" s="10" t="s">
        <v>89</v>
      </c>
      <c r="AA35" s="6">
        <v>2.1579999999999999</v>
      </c>
      <c r="AB35" s="6">
        <v>120</v>
      </c>
    </row>
    <row r="36" spans="1:28">
      <c r="A36" s="6" t="s">
        <v>2049</v>
      </c>
      <c r="B36" s="6">
        <v>80</v>
      </c>
      <c r="R36" s="10" t="s">
        <v>1019</v>
      </c>
      <c r="S36" s="6">
        <v>300</v>
      </c>
      <c r="T36" s="6">
        <v>200</v>
      </c>
      <c r="Z36" s="10" t="s">
        <v>589</v>
      </c>
      <c r="AA36" s="6">
        <v>2.2440000000000002</v>
      </c>
      <c r="AB36" s="6">
        <v>120</v>
      </c>
    </row>
    <row r="37" spans="1:28">
      <c r="A37" s="6" t="s">
        <v>2050</v>
      </c>
      <c r="B37" s="6">
        <v>80</v>
      </c>
      <c r="R37" s="10" t="s">
        <v>1020</v>
      </c>
      <c r="S37" s="6">
        <v>400</v>
      </c>
      <c r="T37" s="6">
        <v>50</v>
      </c>
      <c r="Z37" s="10" t="s">
        <v>590</v>
      </c>
      <c r="AA37" s="6">
        <v>2.2559999999999998</v>
      </c>
      <c r="AB37" s="6">
        <v>120</v>
      </c>
    </row>
    <row r="38" spans="1:28">
      <c r="R38" s="10" t="s">
        <v>1021</v>
      </c>
      <c r="S38" s="6">
        <v>400</v>
      </c>
      <c r="T38" s="6">
        <v>60</v>
      </c>
      <c r="Z38" s="10" t="s">
        <v>90</v>
      </c>
      <c r="AA38" s="6">
        <v>2.415</v>
      </c>
      <c r="AB38" s="6">
        <v>120</v>
      </c>
    </row>
    <row r="39" spans="1:28">
      <c r="R39" s="10" t="s">
        <v>1022</v>
      </c>
      <c r="S39" s="6">
        <v>400</v>
      </c>
      <c r="T39" s="6">
        <v>65</v>
      </c>
      <c r="Z39" s="10" t="s">
        <v>91</v>
      </c>
      <c r="AA39" s="6">
        <v>2.548</v>
      </c>
      <c r="AB39" s="6">
        <v>120</v>
      </c>
    </row>
    <row r="40" spans="1:28">
      <c r="R40" s="10" t="s">
        <v>1023</v>
      </c>
      <c r="S40" s="6">
        <v>400</v>
      </c>
      <c r="T40" s="6">
        <v>80</v>
      </c>
      <c r="Z40" s="10" t="s">
        <v>92</v>
      </c>
      <c r="AA40" s="6">
        <v>3.016</v>
      </c>
      <c r="AB40" s="6">
        <v>120</v>
      </c>
    </row>
    <row r="41" spans="1:28">
      <c r="R41" s="10" t="s">
        <v>1024</v>
      </c>
      <c r="S41" s="6">
        <v>400</v>
      </c>
      <c r="T41" s="6">
        <v>100</v>
      </c>
      <c r="Z41" s="10" t="s">
        <v>93</v>
      </c>
      <c r="AA41" s="6">
        <v>3.2</v>
      </c>
      <c r="AB41" s="6">
        <v>120</v>
      </c>
    </row>
    <row r="42" spans="1:28">
      <c r="R42" s="10" t="s">
        <v>1025</v>
      </c>
      <c r="S42" s="6">
        <v>400</v>
      </c>
      <c r="T42" s="6">
        <v>150</v>
      </c>
      <c r="Z42" s="10" t="s">
        <v>94</v>
      </c>
      <c r="AA42" s="6">
        <v>3.0619999999999998</v>
      </c>
      <c r="AB42" s="6">
        <v>120</v>
      </c>
    </row>
    <row r="43" spans="1:28">
      <c r="R43" s="10" t="s">
        <v>1026</v>
      </c>
      <c r="S43" s="6">
        <v>400</v>
      </c>
      <c r="T43" s="6">
        <v>200</v>
      </c>
      <c r="Z43" s="10" t="s">
        <v>591</v>
      </c>
      <c r="AA43" s="6">
        <v>3.1640000000000001</v>
      </c>
      <c r="AB43" s="6">
        <v>120</v>
      </c>
    </row>
    <row r="44" spans="1:28">
      <c r="R44" s="10" t="s">
        <v>1027</v>
      </c>
      <c r="S44" s="6">
        <v>500</v>
      </c>
      <c r="T44" s="6">
        <v>50</v>
      </c>
      <c r="Z44" s="10" t="s">
        <v>592</v>
      </c>
      <c r="AA44" s="6">
        <v>3.2</v>
      </c>
      <c r="AB44" s="6">
        <v>120</v>
      </c>
    </row>
    <row r="45" spans="1:28">
      <c r="R45" s="10" t="s">
        <v>1028</v>
      </c>
      <c r="S45" s="6">
        <v>500</v>
      </c>
      <c r="T45" s="6">
        <v>60</v>
      </c>
      <c r="Z45" s="10" t="s">
        <v>95</v>
      </c>
      <c r="AA45" s="6">
        <v>3.367</v>
      </c>
      <c r="AB45" s="6">
        <v>120</v>
      </c>
    </row>
    <row r="46" spans="1:28">
      <c r="R46" s="10" t="s">
        <v>1029</v>
      </c>
      <c r="S46" s="6">
        <v>500</v>
      </c>
      <c r="T46" s="6">
        <v>65</v>
      </c>
      <c r="Z46" s="10" t="s">
        <v>96</v>
      </c>
      <c r="AA46" s="6">
        <v>3.6</v>
      </c>
      <c r="AB46" s="6">
        <v>120</v>
      </c>
    </row>
    <row r="47" spans="1:28">
      <c r="R47" s="10" t="s">
        <v>1030</v>
      </c>
      <c r="S47" s="6">
        <v>500</v>
      </c>
      <c r="T47" s="6">
        <v>80</v>
      </c>
      <c r="Z47" s="10" t="s">
        <v>97</v>
      </c>
      <c r="AA47" s="6">
        <v>3.8</v>
      </c>
      <c r="AB47" s="6">
        <v>120</v>
      </c>
    </row>
    <row r="48" spans="1:28">
      <c r="R48" s="10" t="s">
        <v>1031</v>
      </c>
      <c r="S48" s="6">
        <v>500</v>
      </c>
      <c r="T48" s="6">
        <v>100</v>
      </c>
      <c r="Z48" s="10" t="s">
        <v>98</v>
      </c>
      <c r="AA48" s="6">
        <v>4</v>
      </c>
      <c r="AB48" s="6">
        <v>120</v>
      </c>
    </row>
    <row r="49" spans="18:28">
      <c r="R49" s="10" t="s">
        <v>1032</v>
      </c>
      <c r="S49" s="6">
        <v>500</v>
      </c>
      <c r="T49" s="6">
        <v>150</v>
      </c>
      <c r="Z49" s="9" t="s">
        <v>573</v>
      </c>
      <c r="AA49" s="6"/>
      <c r="AB49" s="6"/>
    </row>
    <row r="50" spans="18:28">
      <c r="R50" s="10" t="s">
        <v>1033</v>
      </c>
      <c r="S50" s="6">
        <v>500</v>
      </c>
      <c r="T50" s="6">
        <v>200</v>
      </c>
      <c r="Z50" s="10" t="s">
        <v>99</v>
      </c>
      <c r="AA50" s="6">
        <v>6.3E-2</v>
      </c>
      <c r="AB50" s="6">
        <v>35</v>
      </c>
    </row>
    <row r="51" spans="18:28">
      <c r="R51" s="10" t="s">
        <v>1034</v>
      </c>
      <c r="S51" s="6">
        <v>600</v>
      </c>
      <c r="T51" s="6">
        <v>50</v>
      </c>
      <c r="Z51" s="10" t="s">
        <v>710</v>
      </c>
      <c r="AA51" s="6">
        <v>7.6999999999999999E-2</v>
      </c>
      <c r="AB51" s="6">
        <v>35</v>
      </c>
    </row>
    <row r="52" spans="18:28">
      <c r="R52" s="10" t="s">
        <v>1035</v>
      </c>
      <c r="S52" s="6">
        <v>600</v>
      </c>
      <c r="T52" s="6">
        <v>80</v>
      </c>
      <c r="Z52" s="10" t="s">
        <v>100</v>
      </c>
      <c r="AA52" s="6">
        <v>0.14899999999999999</v>
      </c>
      <c r="AB52" s="6">
        <v>35</v>
      </c>
    </row>
    <row r="53" spans="18:28">
      <c r="R53" s="10" t="s">
        <v>1036</v>
      </c>
      <c r="S53" s="6">
        <v>600</v>
      </c>
      <c r="T53" s="6">
        <v>100</v>
      </c>
      <c r="Z53" s="10" t="s">
        <v>101</v>
      </c>
      <c r="AA53" s="6">
        <v>0.27100000000000002</v>
      </c>
      <c r="AB53" s="6">
        <v>35</v>
      </c>
    </row>
    <row r="54" spans="18:28">
      <c r="R54" s="10" t="s">
        <v>1037</v>
      </c>
      <c r="S54" s="6">
        <v>600</v>
      </c>
      <c r="T54" s="6">
        <v>150</v>
      </c>
      <c r="Z54" s="10" t="s">
        <v>102</v>
      </c>
      <c r="AA54" s="6">
        <v>0.42899999999999999</v>
      </c>
      <c r="AB54" s="6">
        <v>35</v>
      </c>
    </row>
    <row r="55" spans="18:28">
      <c r="R55" s="10" t="s">
        <v>1038</v>
      </c>
      <c r="S55" s="6">
        <v>600</v>
      </c>
      <c r="T55" s="6">
        <v>200</v>
      </c>
      <c r="Z55" s="10" t="s">
        <v>103</v>
      </c>
      <c r="AA55" s="6">
        <v>0.623</v>
      </c>
      <c r="AB55" s="6">
        <v>35</v>
      </c>
    </row>
    <row r="56" spans="18:28">
      <c r="Z56" s="10" t="s">
        <v>104</v>
      </c>
      <c r="AA56" s="6">
        <v>0.85399999999999998</v>
      </c>
      <c r="AB56" s="6">
        <v>35</v>
      </c>
    </row>
    <row r="57" spans="18:28">
      <c r="Z57" s="10" t="s">
        <v>105</v>
      </c>
      <c r="AA57" s="6">
        <v>1.073</v>
      </c>
      <c r="AB57" s="6">
        <v>35</v>
      </c>
    </row>
    <row r="58" spans="18:28">
      <c r="Z58" s="10" t="s">
        <v>106</v>
      </c>
      <c r="AA58" s="6">
        <v>2.1160000000000001</v>
      </c>
      <c r="AB58" s="6">
        <v>35</v>
      </c>
    </row>
    <row r="59" spans="18:28">
      <c r="Z59" s="9" t="s">
        <v>574</v>
      </c>
      <c r="AA59" s="6"/>
      <c r="AB59" s="6"/>
    </row>
    <row r="60" spans="18:28">
      <c r="Z60" s="10" t="s">
        <v>575</v>
      </c>
      <c r="AA60" s="6">
        <v>0.15</v>
      </c>
      <c r="AB60" s="6">
        <v>120</v>
      </c>
    </row>
    <row r="61" spans="18:28">
      <c r="Z61" s="10" t="s">
        <v>107</v>
      </c>
      <c r="AA61" s="6">
        <v>0.16800000000000001</v>
      </c>
      <c r="AB61" s="6">
        <v>120</v>
      </c>
    </row>
    <row r="62" spans="18:28">
      <c r="Z62" s="10" t="s">
        <v>576</v>
      </c>
      <c r="AA62" s="6">
        <v>0.17499999999999999</v>
      </c>
      <c r="AB62" s="6">
        <v>120</v>
      </c>
    </row>
    <row r="63" spans="18:28">
      <c r="Z63" s="10" t="s">
        <v>577</v>
      </c>
      <c r="AA63" s="6">
        <v>0.188</v>
      </c>
      <c r="AB63" s="6">
        <v>120</v>
      </c>
    </row>
    <row r="64" spans="18:28">
      <c r="Z64" s="10" t="s">
        <v>108</v>
      </c>
      <c r="AA64" s="6">
        <v>0.26300000000000001</v>
      </c>
      <c r="AB64" s="6">
        <v>120</v>
      </c>
    </row>
    <row r="65" spans="26:28">
      <c r="Z65" s="10" t="s">
        <v>578</v>
      </c>
      <c r="AA65" s="6">
        <v>0.28899999999999998</v>
      </c>
      <c r="AB65" s="6">
        <v>120</v>
      </c>
    </row>
    <row r="66" spans="26:28">
      <c r="Z66" s="10" t="s">
        <v>579</v>
      </c>
      <c r="AA66" s="6">
        <v>0.30099999999999999</v>
      </c>
      <c r="AB66" s="6">
        <v>120</v>
      </c>
    </row>
    <row r="67" spans="26:28">
      <c r="Z67" s="10" t="s">
        <v>109</v>
      </c>
      <c r="AA67" s="6">
        <v>0.34</v>
      </c>
      <c r="AB67" s="6">
        <v>120</v>
      </c>
    </row>
    <row r="68" spans="26:28">
      <c r="Z68" s="10" t="s">
        <v>110</v>
      </c>
      <c r="AA68" s="6">
        <v>0.39200000000000002</v>
      </c>
      <c r="AB68" s="6">
        <v>120</v>
      </c>
    </row>
    <row r="69" spans="26:28">
      <c r="Z69" s="10" t="s">
        <v>111</v>
      </c>
      <c r="AA69" s="6">
        <v>0.35199999999999998</v>
      </c>
      <c r="AB69" s="6">
        <v>120</v>
      </c>
    </row>
    <row r="70" spans="26:28">
      <c r="Z70" s="10" t="s">
        <v>112</v>
      </c>
      <c r="AA70" s="6">
        <v>0.379</v>
      </c>
      <c r="AB70" s="6">
        <v>120</v>
      </c>
    </row>
    <row r="71" spans="26:28">
      <c r="Z71" s="10" t="s">
        <v>113</v>
      </c>
      <c r="AA71" s="6">
        <v>0.52800000000000002</v>
      </c>
      <c r="AB71" s="6">
        <v>120</v>
      </c>
    </row>
    <row r="72" spans="26:28">
      <c r="Z72" s="10" t="s">
        <v>114</v>
      </c>
      <c r="AA72" s="6">
        <v>0.55000000000000004</v>
      </c>
      <c r="AB72" s="6">
        <v>120</v>
      </c>
    </row>
    <row r="73" spans="26:28">
      <c r="Z73" s="10" t="s">
        <v>115</v>
      </c>
      <c r="AA73" s="6">
        <v>0.51700000000000002</v>
      </c>
      <c r="AB73" s="6">
        <v>120</v>
      </c>
    </row>
    <row r="74" spans="26:28">
      <c r="Z74" s="10" t="s">
        <v>593</v>
      </c>
      <c r="AA74" s="6">
        <v>0.55100000000000005</v>
      </c>
      <c r="AB74" s="6">
        <v>120</v>
      </c>
    </row>
    <row r="75" spans="26:28">
      <c r="Z75" s="10" t="s">
        <v>594</v>
      </c>
      <c r="AA75" s="6">
        <v>0.56999999999999995</v>
      </c>
      <c r="AB75" s="6">
        <v>120</v>
      </c>
    </row>
    <row r="76" spans="26:28">
      <c r="Z76" s="10" t="s">
        <v>116</v>
      </c>
      <c r="AA76" s="6">
        <v>0.56499999999999995</v>
      </c>
      <c r="AB76" s="6">
        <v>120</v>
      </c>
    </row>
    <row r="77" spans="26:28">
      <c r="Z77" s="10" t="s">
        <v>117</v>
      </c>
      <c r="AA77" s="6">
        <v>0.69</v>
      </c>
      <c r="AB77" s="6">
        <v>120</v>
      </c>
    </row>
    <row r="78" spans="26:28">
      <c r="Z78" s="10" t="s">
        <v>118</v>
      </c>
      <c r="AA78" s="6">
        <v>0.8</v>
      </c>
      <c r="AB78" s="6">
        <v>120</v>
      </c>
    </row>
    <row r="79" spans="26:28">
      <c r="Z79" s="10" t="s">
        <v>119</v>
      </c>
      <c r="AA79" s="6">
        <v>1.0329999999999999</v>
      </c>
      <c r="AB79" s="6">
        <v>120</v>
      </c>
    </row>
    <row r="80" spans="26:28">
      <c r="Z80" s="10" t="s">
        <v>120</v>
      </c>
      <c r="AA80" s="6">
        <v>0.75</v>
      </c>
      <c r="AB80" s="6">
        <v>120</v>
      </c>
    </row>
    <row r="81" spans="26:28">
      <c r="Z81" s="10" t="s">
        <v>121</v>
      </c>
      <c r="AA81" s="6">
        <v>0.85</v>
      </c>
      <c r="AB81" s="6">
        <v>120</v>
      </c>
    </row>
    <row r="82" spans="26:28">
      <c r="Z82" s="10" t="s">
        <v>122</v>
      </c>
      <c r="AA82" s="6">
        <v>0.95</v>
      </c>
      <c r="AB82" s="6">
        <v>120</v>
      </c>
    </row>
    <row r="83" spans="26:28">
      <c r="Z83" s="10" t="s">
        <v>123</v>
      </c>
      <c r="AA83" s="6">
        <v>1.1000000000000001</v>
      </c>
      <c r="AB83" s="6">
        <v>120</v>
      </c>
    </row>
    <row r="84" spans="26:28">
      <c r="Z84" s="10" t="s">
        <v>124</v>
      </c>
      <c r="AA84" s="6">
        <v>1.3</v>
      </c>
      <c r="AB84" s="6">
        <v>120</v>
      </c>
    </row>
    <row r="85" spans="26:28">
      <c r="Z85" s="10" t="s">
        <v>125</v>
      </c>
      <c r="AA85" s="6">
        <v>0.86599999999999999</v>
      </c>
      <c r="AB85" s="6">
        <v>120</v>
      </c>
    </row>
    <row r="86" spans="26:28">
      <c r="Z86" s="10" t="s">
        <v>595</v>
      </c>
      <c r="AA86" s="6">
        <v>0.90900000000000003</v>
      </c>
      <c r="AB86" s="6">
        <v>120</v>
      </c>
    </row>
    <row r="87" spans="26:28">
      <c r="Z87" s="10" t="s">
        <v>596</v>
      </c>
      <c r="AA87" s="6">
        <v>0.92</v>
      </c>
      <c r="AB87" s="6">
        <v>120</v>
      </c>
    </row>
    <row r="88" spans="26:28">
      <c r="Z88" s="10" t="s">
        <v>126</v>
      </c>
      <c r="AA88" s="6">
        <v>0.995</v>
      </c>
      <c r="AB88" s="6">
        <v>120</v>
      </c>
    </row>
    <row r="89" spans="26:28">
      <c r="Z89" s="10" t="s">
        <v>127</v>
      </c>
      <c r="AA89" s="6">
        <v>1.081</v>
      </c>
      <c r="AB89" s="6">
        <v>120</v>
      </c>
    </row>
    <row r="90" spans="26:28">
      <c r="Z90" s="10" t="s">
        <v>128</v>
      </c>
      <c r="AA90" s="6">
        <v>1.268</v>
      </c>
      <c r="AB90" s="6">
        <v>120</v>
      </c>
    </row>
    <row r="91" spans="26:28">
      <c r="Z91" s="10" t="s">
        <v>129</v>
      </c>
      <c r="AA91" s="6">
        <v>1.288</v>
      </c>
      <c r="AB91" s="6">
        <v>120</v>
      </c>
    </row>
    <row r="92" spans="26:28">
      <c r="Z92" s="10" t="s">
        <v>130</v>
      </c>
      <c r="AA92" s="6">
        <v>1.2889999999999999</v>
      </c>
      <c r="AB92" s="6">
        <v>120</v>
      </c>
    </row>
    <row r="93" spans="26:28">
      <c r="Z93" s="10" t="s">
        <v>597</v>
      </c>
      <c r="AA93" s="6">
        <v>1.341</v>
      </c>
      <c r="AB93" s="6">
        <v>120</v>
      </c>
    </row>
    <row r="94" spans="26:28">
      <c r="Z94" s="10" t="s">
        <v>598</v>
      </c>
      <c r="AA94" s="6">
        <v>1.3380000000000001</v>
      </c>
      <c r="AB94" s="6">
        <v>120</v>
      </c>
    </row>
    <row r="95" spans="26:28">
      <c r="Z95" s="10" t="s">
        <v>131</v>
      </c>
      <c r="AA95" s="6">
        <v>1.4410000000000001</v>
      </c>
      <c r="AB95" s="6">
        <v>120</v>
      </c>
    </row>
    <row r="96" spans="26:28">
      <c r="Z96" s="10" t="s">
        <v>132</v>
      </c>
      <c r="AA96" s="6">
        <v>1.5429999999999999</v>
      </c>
      <c r="AB96" s="6">
        <v>120</v>
      </c>
    </row>
    <row r="97" spans="26:28">
      <c r="Z97" s="10" t="s">
        <v>133</v>
      </c>
      <c r="AA97" s="6">
        <v>1.8009999999999999</v>
      </c>
      <c r="AB97" s="6">
        <v>120</v>
      </c>
    </row>
    <row r="98" spans="26:28">
      <c r="Z98" s="10" t="s">
        <v>134</v>
      </c>
      <c r="AA98" s="6">
        <v>1.2</v>
      </c>
      <c r="AB98" s="6">
        <v>120</v>
      </c>
    </row>
    <row r="99" spans="26:28">
      <c r="Z99" s="10" t="s">
        <v>135</v>
      </c>
      <c r="AA99" s="6">
        <v>1.742</v>
      </c>
      <c r="AB99" s="6">
        <v>120</v>
      </c>
    </row>
    <row r="100" spans="26:28">
      <c r="Z100" s="10" t="s">
        <v>599</v>
      </c>
      <c r="AA100" s="6">
        <v>1.8</v>
      </c>
      <c r="AB100" s="6">
        <v>120</v>
      </c>
    </row>
    <row r="101" spans="26:28">
      <c r="Z101" s="10" t="s">
        <v>600</v>
      </c>
      <c r="AA101" s="6">
        <v>1.9</v>
      </c>
      <c r="AB101" s="6">
        <v>120</v>
      </c>
    </row>
    <row r="102" spans="26:28">
      <c r="Z102" s="10" t="s">
        <v>136</v>
      </c>
      <c r="AA102" s="6">
        <v>2</v>
      </c>
      <c r="AB102" s="6">
        <v>120</v>
      </c>
    </row>
    <row r="103" spans="26:28">
      <c r="Z103" s="10" t="s">
        <v>137</v>
      </c>
      <c r="AA103" s="6">
        <v>2.0310000000000001</v>
      </c>
      <c r="AB103" s="6">
        <v>120</v>
      </c>
    </row>
    <row r="104" spans="26:28">
      <c r="Z104" s="10" t="s">
        <v>138</v>
      </c>
      <c r="AA104" s="6">
        <v>2.2000000000000002</v>
      </c>
      <c r="AB104" s="6">
        <v>120</v>
      </c>
    </row>
    <row r="105" spans="26:28">
      <c r="Z105" s="10" t="s">
        <v>139</v>
      </c>
      <c r="AA105" s="6">
        <v>2.4</v>
      </c>
      <c r="AB105" s="6">
        <v>120</v>
      </c>
    </row>
    <row r="106" spans="26:28">
      <c r="Z106" s="9" t="s">
        <v>741</v>
      </c>
      <c r="AA106" s="6"/>
      <c r="AB106" s="6"/>
    </row>
    <row r="107" spans="26:28">
      <c r="Z107" s="10" t="s">
        <v>140</v>
      </c>
      <c r="AA107" s="6">
        <v>5.0999999999999997E-2</v>
      </c>
      <c r="AB107" s="6">
        <v>35</v>
      </c>
    </row>
    <row r="108" spans="26:28">
      <c r="Z108" s="10" t="s">
        <v>711</v>
      </c>
      <c r="AA108" s="6">
        <v>5.7000000000000002E-2</v>
      </c>
      <c r="AB108" s="6">
        <v>35</v>
      </c>
    </row>
    <row r="109" spans="26:28">
      <c r="Z109" s="10" t="s">
        <v>141</v>
      </c>
      <c r="AA109" s="6">
        <v>0.11</v>
      </c>
      <c r="AB109" s="6">
        <v>35</v>
      </c>
    </row>
    <row r="110" spans="26:28">
      <c r="Z110" s="10" t="s">
        <v>142</v>
      </c>
      <c r="AA110" s="6">
        <v>0.183</v>
      </c>
      <c r="AB110" s="6">
        <v>35</v>
      </c>
    </row>
    <row r="111" spans="26:28">
      <c r="Z111" s="10" t="s">
        <v>143</v>
      </c>
      <c r="AA111" s="6">
        <v>0.188</v>
      </c>
      <c r="AB111" s="6">
        <v>35</v>
      </c>
    </row>
    <row r="112" spans="26:28">
      <c r="Z112" s="10" t="s">
        <v>144</v>
      </c>
      <c r="AA112" s="6">
        <v>0.4</v>
      </c>
      <c r="AB112" s="6">
        <v>35</v>
      </c>
    </row>
    <row r="113" spans="26:28">
      <c r="Z113" s="10" t="s">
        <v>145</v>
      </c>
      <c r="AA113" s="6">
        <v>0.55800000000000005</v>
      </c>
      <c r="AB113" s="6">
        <v>35</v>
      </c>
    </row>
    <row r="114" spans="26:28">
      <c r="Z114" s="10" t="s">
        <v>146</v>
      </c>
      <c r="AA114" s="6">
        <v>0.90200000000000002</v>
      </c>
      <c r="AB114" s="6">
        <v>35</v>
      </c>
    </row>
    <row r="115" spans="26:28">
      <c r="Z115" s="10" t="s">
        <v>147</v>
      </c>
      <c r="AA115" s="6">
        <v>1.256</v>
      </c>
      <c r="AB115" s="6">
        <v>35</v>
      </c>
    </row>
    <row r="116" spans="26:28">
      <c r="Z116" s="9" t="s">
        <v>715</v>
      </c>
      <c r="AA116" s="6"/>
      <c r="AB116" s="6"/>
    </row>
    <row r="117" spans="26:28">
      <c r="Z117" s="10" t="s">
        <v>580</v>
      </c>
      <c r="AA117" s="6">
        <v>0.1</v>
      </c>
      <c r="AB117" s="6">
        <v>120</v>
      </c>
    </row>
    <row r="118" spans="26:28">
      <c r="Z118" s="10" t="s">
        <v>148</v>
      </c>
      <c r="AA118" s="6">
        <v>0.13700000000000001</v>
      </c>
      <c r="AB118" s="6">
        <v>120</v>
      </c>
    </row>
    <row r="119" spans="26:28">
      <c r="Z119" s="10" t="s">
        <v>581</v>
      </c>
      <c r="AA119" s="6">
        <v>0.16700000000000001</v>
      </c>
      <c r="AB119" s="6">
        <v>120</v>
      </c>
    </row>
    <row r="120" spans="26:28">
      <c r="Z120" s="10" t="s">
        <v>582</v>
      </c>
      <c r="AA120" s="6">
        <v>0.11700000000000001</v>
      </c>
      <c r="AB120" s="6">
        <v>120</v>
      </c>
    </row>
    <row r="121" spans="26:28">
      <c r="Z121" s="10" t="s">
        <v>149</v>
      </c>
      <c r="AA121" s="6">
        <v>0.186</v>
      </c>
      <c r="AB121" s="6">
        <v>120</v>
      </c>
    </row>
    <row r="122" spans="26:28">
      <c r="Z122" s="10" t="s">
        <v>583</v>
      </c>
      <c r="AA122" s="6">
        <v>0.23499999999999999</v>
      </c>
      <c r="AB122" s="6">
        <v>120</v>
      </c>
    </row>
    <row r="123" spans="26:28">
      <c r="Z123" s="10" t="s">
        <v>584</v>
      </c>
      <c r="AA123" s="6">
        <v>0.248</v>
      </c>
      <c r="AB123" s="6">
        <v>120</v>
      </c>
    </row>
    <row r="124" spans="26:28">
      <c r="Z124" s="10" t="s">
        <v>150</v>
      </c>
      <c r="AA124" s="6">
        <v>0.308</v>
      </c>
      <c r="AB124" s="6">
        <v>120</v>
      </c>
    </row>
    <row r="125" spans="26:28">
      <c r="Z125" s="10" t="s">
        <v>151</v>
      </c>
      <c r="AA125" s="6">
        <v>0.40200000000000002</v>
      </c>
      <c r="AB125" s="6">
        <v>120</v>
      </c>
    </row>
    <row r="126" spans="26:28">
      <c r="Z126" s="10" t="s">
        <v>152</v>
      </c>
      <c r="AA126" s="6">
        <v>0.24199999999999999</v>
      </c>
      <c r="AB126" s="6">
        <v>120</v>
      </c>
    </row>
    <row r="127" spans="26:28">
      <c r="Z127" s="10" t="s">
        <v>153</v>
      </c>
      <c r="AA127" s="6">
        <v>0.36699999999999999</v>
      </c>
      <c r="AB127" s="6">
        <v>120</v>
      </c>
    </row>
    <row r="128" spans="26:28">
      <c r="Z128" s="10" t="s">
        <v>154</v>
      </c>
      <c r="AA128" s="6">
        <v>0.46800000000000003</v>
      </c>
      <c r="AB128" s="6">
        <v>120</v>
      </c>
    </row>
    <row r="129" spans="26:28">
      <c r="Z129" s="10" t="s">
        <v>155</v>
      </c>
      <c r="AA129" s="6">
        <v>0.76400000000000001</v>
      </c>
      <c r="AB129" s="6">
        <v>120</v>
      </c>
    </row>
    <row r="130" spans="26:28">
      <c r="Z130" s="10" t="s">
        <v>156</v>
      </c>
      <c r="AA130" s="6">
        <v>0.28999999999999998</v>
      </c>
      <c r="AB130" s="6">
        <v>120</v>
      </c>
    </row>
    <row r="131" spans="26:28">
      <c r="Z131" s="10" t="s">
        <v>601</v>
      </c>
      <c r="AA131" s="6">
        <v>0.33200000000000002</v>
      </c>
      <c r="AB131" s="6">
        <v>120</v>
      </c>
    </row>
    <row r="132" spans="26:28">
      <c r="Z132" s="10" t="s">
        <v>602</v>
      </c>
      <c r="AA132" s="6">
        <v>0.35399999999999998</v>
      </c>
      <c r="AB132" s="6">
        <v>120</v>
      </c>
    </row>
    <row r="133" spans="26:28">
      <c r="Z133" s="10" t="s">
        <v>157</v>
      </c>
      <c r="AA133" s="6">
        <v>0.42599999999999999</v>
      </c>
      <c r="AB133" s="6">
        <v>120</v>
      </c>
    </row>
    <row r="134" spans="26:28">
      <c r="Z134" s="10" t="s">
        <v>158</v>
      </c>
      <c r="AA134" s="6">
        <v>0.53500000000000003</v>
      </c>
      <c r="AB134" s="6">
        <v>120</v>
      </c>
    </row>
    <row r="135" spans="26:28">
      <c r="Z135" s="10" t="s">
        <v>159</v>
      </c>
      <c r="AA135" s="6">
        <v>0.84899999999999998</v>
      </c>
      <c r="AB135" s="6">
        <v>120</v>
      </c>
    </row>
    <row r="136" spans="26:28">
      <c r="Z136" s="10" t="s">
        <v>160</v>
      </c>
      <c r="AA136" s="6">
        <v>1.2290000000000001</v>
      </c>
      <c r="AB136" s="6">
        <v>120</v>
      </c>
    </row>
    <row r="137" spans="26:28">
      <c r="Z137" s="10" t="s">
        <v>161</v>
      </c>
      <c r="AA137" s="6">
        <v>0.46</v>
      </c>
      <c r="AB137" s="6">
        <v>120</v>
      </c>
    </row>
    <row r="138" spans="26:28">
      <c r="Z138" s="10" t="s">
        <v>162</v>
      </c>
      <c r="AA138" s="6">
        <v>0.48399999999999999</v>
      </c>
      <c r="AB138" s="6">
        <v>120</v>
      </c>
    </row>
    <row r="139" spans="26:28">
      <c r="Z139" s="10" t="s">
        <v>163</v>
      </c>
      <c r="AA139" s="6">
        <v>0.60099999999999998</v>
      </c>
      <c r="AB139" s="6">
        <v>120</v>
      </c>
    </row>
    <row r="140" spans="26:28">
      <c r="Z140" s="10" t="s">
        <v>164</v>
      </c>
      <c r="AA140" s="6">
        <v>0.8</v>
      </c>
      <c r="AB140" s="6">
        <v>120</v>
      </c>
    </row>
    <row r="141" spans="26:28">
      <c r="Z141" s="10" t="s">
        <v>165</v>
      </c>
      <c r="AA141" s="6">
        <v>1</v>
      </c>
      <c r="AB141" s="6">
        <v>120</v>
      </c>
    </row>
    <row r="142" spans="26:28">
      <c r="Z142" s="10" t="s">
        <v>166</v>
      </c>
      <c r="AA142" s="6">
        <v>0.38500000000000001</v>
      </c>
      <c r="AB142" s="6">
        <v>120</v>
      </c>
    </row>
    <row r="143" spans="26:28">
      <c r="Z143" s="10" t="s">
        <v>603</v>
      </c>
      <c r="AA143" s="6">
        <v>0.45500000000000002</v>
      </c>
      <c r="AB143" s="6">
        <v>120</v>
      </c>
    </row>
    <row r="144" spans="26:28">
      <c r="Z144" s="10" t="s">
        <v>604</v>
      </c>
      <c r="AA144" s="6">
        <v>0.46100000000000002</v>
      </c>
      <c r="AB144" s="6">
        <v>120</v>
      </c>
    </row>
    <row r="145" spans="26:28">
      <c r="Z145" s="10" t="s">
        <v>167</v>
      </c>
      <c r="AA145" s="6">
        <v>0.54300000000000004</v>
      </c>
      <c r="AB145" s="6">
        <v>120</v>
      </c>
    </row>
    <row r="146" spans="26:28">
      <c r="Z146" s="10" t="s">
        <v>168</v>
      </c>
      <c r="AA146" s="6">
        <v>0.66700000000000004</v>
      </c>
      <c r="AB146" s="6">
        <v>120</v>
      </c>
    </row>
    <row r="147" spans="26:28">
      <c r="Z147" s="10" t="s">
        <v>169</v>
      </c>
      <c r="AA147" s="6">
        <v>1.018</v>
      </c>
      <c r="AB147" s="6">
        <v>120</v>
      </c>
    </row>
    <row r="148" spans="26:28">
      <c r="Z148" s="10" t="s">
        <v>170</v>
      </c>
      <c r="AA148" s="6">
        <v>1.2</v>
      </c>
      <c r="AB148" s="6">
        <v>120</v>
      </c>
    </row>
    <row r="149" spans="26:28">
      <c r="Z149" s="10" t="s">
        <v>171</v>
      </c>
      <c r="AA149" s="6">
        <v>0.48099999999999998</v>
      </c>
      <c r="AB149" s="6">
        <v>120</v>
      </c>
    </row>
    <row r="150" spans="26:28">
      <c r="Z150" s="10" t="s">
        <v>605</v>
      </c>
      <c r="AA150" s="6">
        <v>0.53800000000000003</v>
      </c>
      <c r="AB150" s="6">
        <v>120</v>
      </c>
    </row>
    <row r="151" spans="26:28">
      <c r="Z151" s="10" t="s">
        <v>606</v>
      </c>
      <c r="AA151" s="6">
        <v>0.56699999999999995</v>
      </c>
      <c r="AB151" s="6">
        <v>120</v>
      </c>
    </row>
    <row r="152" spans="26:28">
      <c r="Z152" s="10" t="s">
        <v>172</v>
      </c>
      <c r="AA152" s="6">
        <v>0.66</v>
      </c>
      <c r="AB152" s="6">
        <v>120</v>
      </c>
    </row>
    <row r="153" spans="26:28">
      <c r="Z153" s="10" t="s">
        <v>173</v>
      </c>
      <c r="AA153" s="6">
        <v>0.8</v>
      </c>
      <c r="AB153" s="6">
        <v>120</v>
      </c>
    </row>
    <row r="154" spans="26:28">
      <c r="Z154" s="10" t="s">
        <v>174</v>
      </c>
      <c r="AA154" s="6">
        <v>1</v>
      </c>
      <c r="AB154" s="6">
        <v>120</v>
      </c>
    </row>
    <row r="155" spans="26:28">
      <c r="Z155" s="10" t="s">
        <v>175</v>
      </c>
      <c r="AA155" s="6">
        <v>1.2</v>
      </c>
      <c r="AB155" s="6">
        <v>120</v>
      </c>
    </row>
    <row r="156" spans="26:28">
      <c r="Z156" s="10" t="s">
        <v>176</v>
      </c>
      <c r="AA156" s="6">
        <v>0.57699999999999996</v>
      </c>
      <c r="AB156" s="6">
        <v>120</v>
      </c>
    </row>
    <row r="157" spans="26:28">
      <c r="Z157" s="10" t="s">
        <v>607</v>
      </c>
      <c r="AA157" s="6">
        <v>0.64100000000000001</v>
      </c>
      <c r="AB157" s="6">
        <v>120</v>
      </c>
    </row>
    <row r="158" spans="26:28">
      <c r="Z158" s="10" t="s">
        <v>608</v>
      </c>
      <c r="AA158" s="6">
        <v>0.7</v>
      </c>
      <c r="AB158" s="6">
        <v>120</v>
      </c>
    </row>
    <row r="159" spans="26:28">
      <c r="Z159" s="10" t="s">
        <v>177</v>
      </c>
      <c r="AA159" s="6">
        <v>0.77700000000000002</v>
      </c>
      <c r="AB159" s="6">
        <v>120</v>
      </c>
    </row>
    <row r="160" spans="26:28">
      <c r="Z160" s="10" t="s">
        <v>178</v>
      </c>
      <c r="AA160" s="6">
        <v>0.93300000000000005</v>
      </c>
      <c r="AB160" s="6">
        <v>120</v>
      </c>
    </row>
    <row r="161" spans="26:28">
      <c r="Z161" s="10" t="s">
        <v>179</v>
      </c>
      <c r="AA161" s="6">
        <v>1.1000000000000001</v>
      </c>
      <c r="AB161" s="6">
        <v>120</v>
      </c>
    </row>
    <row r="162" spans="26:28">
      <c r="Z162" s="10" t="s">
        <v>180</v>
      </c>
      <c r="AA162" s="6">
        <v>1.3</v>
      </c>
      <c r="AB162" s="6">
        <v>120</v>
      </c>
    </row>
    <row r="163" spans="26:28">
      <c r="Z163" s="9" t="s">
        <v>684</v>
      </c>
      <c r="AA163" s="6"/>
      <c r="AB163" s="6"/>
    </row>
    <row r="164" spans="26:28">
      <c r="Z164" s="10" t="s">
        <v>730</v>
      </c>
      <c r="AA164" s="6">
        <v>6.6000000000000003E-2</v>
      </c>
      <c r="AB164" s="6">
        <v>35</v>
      </c>
    </row>
    <row r="165" spans="26:28">
      <c r="Z165" s="10" t="s">
        <v>731</v>
      </c>
      <c r="AA165" s="6">
        <v>6.7000000000000004E-2</v>
      </c>
      <c r="AB165" s="6">
        <v>35</v>
      </c>
    </row>
    <row r="166" spans="26:28">
      <c r="Z166" s="10" t="s">
        <v>732</v>
      </c>
      <c r="AA166" s="6">
        <v>0.16400000000000001</v>
      </c>
      <c r="AB166" s="6">
        <v>35</v>
      </c>
    </row>
    <row r="167" spans="26:28">
      <c r="Z167" s="10" t="s">
        <v>733</v>
      </c>
      <c r="AA167" s="6">
        <v>0.22600000000000001</v>
      </c>
      <c r="AB167" s="6">
        <v>35</v>
      </c>
    </row>
    <row r="168" spans="26:28">
      <c r="Z168" s="10" t="s">
        <v>734</v>
      </c>
      <c r="AA168" s="6">
        <v>0.28899999999999998</v>
      </c>
      <c r="AB168" s="6">
        <v>35</v>
      </c>
    </row>
    <row r="169" spans="26:28">
      <c r="Z169" s="10" t="s">
        <v>735</v>
      </c>
      <c r="AA169" s="6">
        <v>0.35199999999999998</v>
      </c>
      <c r="AB169" s="6">
        <v>35</v>
      </c>
    </row>
    <row r="170" spans="26:28">
      <c r="Z170" s="10" t="s">
        <v>736</v>
      </c>
      <c r="AA170" s="6">
        <v>0.41599999999999998</v>
      </c>
      <c r="AB170" s="6">
        <v>35</v>
      </c>
    </row>
    <row r="171" spans="26:28">
      <c r="Z171" s="10" t="s">
        <v>737</v>
      </c>
      <c r="AA171" s="6">
        <v>0.54200000000000004</v>
      </c>
      <c r="AB171" s="6">
        <v>35</v>
      </c>
    </row>
    <row r="172" spans="26:28">
      <c r="Z172" s="10" t="s">
        <v>738</v>
      </c>
      <c r="AA172" s="6">
        <v>0.66800000000000004</v>
      </c>
      <c r="AB172" s="6">
        <v>35</v>
      </c>
    </row>
    <row r="173" spans="26:28">
      <c r="Z173" s="9" t="s">
        <v>685</v>
      </c>
      <c r="AA173" s="6"/>
      <c r="AB173" s="6"/>
    </row>
    <row r="174" spans="26:28">
      <c r="Z174" s="10" t="s">
        <v>609</v>
      </c>
      <c r="AA174" s="6">
        <v>0.15</v>
      </c>
      <c r="AB174" s="6">
        <v>120</v>
      </c>
    </row>
    <row r="175" spans="26:28">
      <c r="Z175" s="10" t="s">
        <v>181</v>
      </c>
      <c r="AA175" s="6">
        <v>0.16800000000000001</v>
      </c>
      <c r="AB175" s="6">
        <v>120</v>
      </c>
    </row>
    <row r="176" spans="26:28">
      <c r="Z176" s="10" t="s">
        <v>712</v>
      </c>
      <c r="AA176" s="6">
        <v>0.17499999999999999</v>
      </c>
      <c r="AB176" s="6">
        <v>120</v>
      </c>
    </row>
    <row r="177" spans="26:28">
      <c r="Z177" s="10" t="s">
        <v>713</v>
      </c>
      <c r="AA177" s="6">
        <v>0.188</v>
      </c>
      <c r="AB177" s="6">
        <v>120</v>
      </c>
    </row>
    <row r="178" spans="26:28">
      <c r="Z178" s="10" t="s">
        <v>182</v>
      </c>
      <c r="AA178" s="6">
        <v>0.26300000000000001</v>
      </c>
      <c r="AB178" s="6">
        <v>120</v>
      </c>
    </row>
    <row r="179" spans="26:28">
      <c r="Z179" s="10" t="s">
        <v>610</v>
      </c>
      <c r="AA179" s="6">
        <v>0.28899999999999998</v>
      </c>
      <c r="AB179" s="6">
        <v>120</v>
      </c>
    </row>
    <row r="180" spans="26:28">
      <c r="Z180" s="10" t="s">
        <v>611</v>
      </c>
      <c r="AA180" s="6">
        <v>0.30099999999999999</v>
      </c>
      <c r="AB180" s="6">
        <v>120</v>
      </c>
    </row>
    <row r="181" spans="26:28">
      <c r="Z181" s="10" t="s">
        <v>183</v>
      </c>
      <c r="AA181" s="6">
        <v>0.34</v>
      </c>
      <c r="AB181" s="6">
        <v>120</v>
      </c>
    </row>
    <row r="182" spans="26:28">
      <c r="Z182" s="10" t="s">
        <v>184</v>
      </c>
      <c r="AA182" s="6">
        <v>0.39200000000000002</v>
      </c>
      <c r="AB182" s="6">
        <v>120</v>
      </c>
    </row>
    <row r="183" spans="26:28">
      <c r="Z183" s="10" t="s">
        <v>185</v>
      </c>
      <c r="AA183" s="6">
        <v>0.379</v>
      </c>
      <c r="AB183" s="6">
        <v>120</v>
      </c>
    </row>
    <row r="184" spans="26:28">
      <c r="Z184" s="10" t="s">
        <v>186</v>
      </c>
      <c r="AA184" s="6">
        <v>0.46800000000000003</v>
      </c>
      <c r="AB184" s="6">
        <v>120</v>
      </c>
    </row>
    <row r="185" spans="26:28">
      <c r="Z185" s="10" t="s">
        <v>187</v>
      </c>
      <c r="AA185" s="6">
        <v>0.52800000000000002</v>
      </c>
      <c r="AB185" s="6">
        <v>120</v>
      </c>
    </row>
    <row r="186" spans="26:28">
      <c r="Z186" s="10" t="s">
        <v>188</v>
      </c>
      <c r="AA186" s="6">
        <v>0.7</v>
      </c>
      <c r="AB186" s="6">
        <v>120</v>
      </c>
    </row>
    <row r="187" spans="26:28">
      <c r="Z187" s="10" t="s">
        <v>189</v>
      </c>
      <c r="AA187" s="6">
        <v>0.51700000000000002</v>
      </c>
      <c r="AB187" s="6">
        <v>120</v>
      </c>
    </row>
    <row r="188" spans="26:28">
      <c r="Z188" s="10" t="s">
        <v>612</v>
      </c>
      <c r="AA188" s="6">
        <v>0.55100000000000005</v>
      </c>
      <c r="AB188" s="6">
        <v>120</v>
      </c>
    </row>
    <row r="189" spans="26:28">
      <c r="Z189" s="10" t="s">
        <v>613</v>
      </c>
      <c r="AA189" s="6">
        <v>0.56499999999999995</v>
      </c>
      <c r="AB189" s="6">
        <v>120</v>
      </c>
    </row>
    <row r="190" spans="26:28">
      <c r="Z190" s="10" t="s">
        <v>190</v>
      </c>
      <c r="AA190" s="6">
        <v>0.61599999999999999</v>
      </c>
      <c r="AB190" s="6">
        <v>120</v>
      </c>
    </row>
    <row r="191" spans="26:28">
      <c r="Z191" s="10" t="s">
        <v>191</v>
      </c>
      <c r="AA191" s="6">
        <v>0.69</v>
      </c>
      <c r="AB191" s="6">
        <v>120</v>
      </c>
    </row>
    <row r="192" spans="26:28">
      <c r="Z192" s="10" t="s">
        <v>192</v>
      </c>
      <c r="AA192" s="6">
        <v>0.8</v>
      </c>
      <c r="AB192" s="6">
        <v>120</v>
      </c>
    </row>
    <row r="193" spans="26:28">
      <c r="Z193" s="10" t="s">
        <v>193</v>
      </c>
      <c r="AA193" s="6">
        <v>1.0329999999999999</v>
      </c>
      <c r="AB193" s="6">
        <v>120</v>
      </c>
    </row>
    <row r="194" spans="26:28">
      <c r="Z194" s="10" t="s">
        <v>194</v>
      </c>
      <c r="AA194" s="6">
        <v>0.75</v>
      </c>
      <c r="AB194" s="6">
        <v>120</v>
      </c>
    </row>
    <row r="195" spans="26:28">
      <c r="Z195" s="10" t="s">
        <v>195</v>
      </c>
      <c r="AA195" s="6">
        <v>0.95</v>
      </c>
      <c r="AB195" s="6">
        <v>120</v>
      </c>
    </row>
    <row r="196" spans="26:28">
      <c r="Z196" s="10" t="s">
        <v>196</v>
      </c>
      <c r="AA196" s="6">
        <v>1.1499999999999999</v>
      </c>
      <c r="AB196" s="6">
        <v>120</v>
      </c>
    </row>
    <row r="197" spans="26:28">
      <c r="Z197" s="10" t="s">
        <v>197</v>
      </c>
      <c r="AA197" s="6">
        <v>1.35</v>
      </c>
      <c r="AB197" s="6">
        <v>120</v>
      </c>
    </row>
    <row r="198" spans="26:28">
      <c r="Z198" s="10" t="s">
        <v>198</v>
      </c>
      <c r="AA198" s="6">
        <v>1.45</v>
      </c>
      <c r="AB198" s="6">
        <v>120</v>
      </c>
    </row>
    <row r="199" spans="26:28">
      <c r="Z199" s="10" t="s">
        <v>199</v>
      </c>
      <c r="AA199" s="6">
        <v>0.86599999999999999</v>
      </c>
      <c r="AB199" s="6">
        <v>120</v>
      </c>
    </row>
    <row r="200" spans="26:28">
      <c r="Z200" s="10" t="s">
        <v>614</v>
      </c>
      <c r="AA200" s="6">
        <v>0.90900000000000003</v>
      </c>
      <c r="AB200" s="6">
        <v>120</v>
      </c>
    </row>
    <row r="201" spans="26:28">
      <c r="Z201" s="10" t="s">
        <v>615</v>
      </c>
      <c r="AA201" s="6">
        <v>0.95</v>
      </c>
      <c r="AB201" s="6">
        <v>120</v>
      </c>
    </row>
    <row r="202" spans="26:28">
      <c r="Z202" s="10" t="s">
        <v>200</v>
      </c>
      <c r="AA202" s="6">
        <v>0.995</v>
      </c>
      <c r="AB202" s="6">
        <v>120</v>
      </c>
    </row>
    <row r="203" spans="26:28">
      <c r="Z203" s="10" t="s">
        <v>201</v>
      </c>
      <c r="AA203" s="6">
        <v>1.081</v>
      </c>
      <c r="AB203" s="6">
        <v>120</v>
      </c>
    </row>
    <row r="204" spans="26:28">
      <c r="Z204" s="10" t="s">
        <v>202</v>
      </c>
      <c r="AA204" s="6">
        <v>1.268</v>
      </c>
      <c r="AB204" s="6">
        <v>120</v>
      </c>
    </row>
    <row r="205" spans="26:28">
      <c r="Z205" s="10" t="s">
        <v>203</v>
      </c>
      <c r="AA205" s="6">
        <v>1.468</v>
      </c>
      <c r="AB205" s="6">
        <v>120</v>
      </c>
    </row>
    <row r="206" spans="26:28">
      <c r="Z206" s="10" t="s">
        <v>204</v>
      </c>
      <c r="AA206" s="6">
        <v>1.2889999999999999</v>
      </c>
      <c r="AB206" s="6">
        <v>120</v>
      </c>
    </row>
    <row r="207" spans="26:28">
      <c r="Z207" s="10" t="s">
        <v>616</v>
      </c>
      <c r="AA207" s="6">
        <v>1.341</v>
      </c>
      <c r="AB207" s="6">
        <v>120</v>
      </c>
    </row>
    <row r="208" spans="26:28">
      <c r="Z208" s="10" t="s">
        <v>617</v>
      </c>
      <c r="AA208" s="6">
        <v>1.3380000000000001</v>
      </c>
      <c r="AB208" s="6">
        <v>120</v>
      </c>
    </row>
    <row r="209" spans="26:28">
      <c r="Z209" s="10" t="s">
        <v>205</v>
      </c>
      <c r="AA209" s="6">
        <v>1.4410000000000001</v>
      </c>
      <c r="AB209" s="6">
        <v>120</v>
      </c>
    </row>
    <row r="210" spans="26:28">
      <c r="Z210" s="10" t="s">
        <v>206</v>
      </c>
      <c r="AA210" s="6">
        <v>1.5429999999999999</v>
      </c>
      <c r="AB210" s="6">
        <v>120</v>
      </c>
    </row>
    <row r="211" spans="26:28">
      <c r="Z211" s="10" t="s">
        <v>207</v>
      </c>
      <c r="AA211" s="6">
        <v>1.8009999999999999</v>
      </c>
      <c r="AB211" s="6">
        <v>120</v>
      </c>
    </row>
    <row r="212" spans="26:28">
      <c r="Z212" s="10" t="s">
        <v>208</v>
      </c>
      <c r="AA212" s="6">
        <v>2</v>
      </c>
      <c r="AB212" s="6">
        <v>120</v>
      </c>
    </row>
    <row r="213" spans="26:28">
      <c r="Z213" s="10" t="s">
        <v>209</v>
      </c>
      <c r="AA213" s="6">
        <v>1.742</v>
      </c>
      <c r="AB213" s="6">
        <v>120</v>
      </c>
    </row>
    <row r="214" spans="26:28">
      <c r="Z214" s="10" t="s">
        <v>618</v>
      </c>
      <c r="AA214" s="6">
        <v>1.8</v>
      </c>
      <c r="AB214" s="6">
        <v>120</v>
      </c>
    </row>
    <row r="215" spans="26:28">
      <c r="Z215" s="10" t="s">
        <v>619</v>
      </c>
      <c r="AA215" s="6">
        <v>1.85</v>
      </c>
      <c r="AB215" s="6">
        <v>120</v>
      </c>
    </row>
    <row r="216" spans="26:28">
      <c r="Z216" s="10" t="s">
        <v>210</v>
      </c>
      <c r="AA216" s="6">
        <v>1.9</v>
      </c>
      <c r="AB216" s="6">
        <v>120</v>
      </c>
    </row>
    <row r="217" spans="26:28">
      <c r="Z217" s="10" t="s">
        <v>211</v>
      </c>
      <c r="AA217" s="6">
        <v>2.0310000000000001</v>
      </c>
      <c r="AB217" s="6">
        <v>120</v>
      </c>
    </row>
    <row r="218" spans="26:28">
      <c r="Z218" s="10" t="s">
        <v>212</v>
      </c>
      <c r="AA218" s="6">
        <v>2.2000000000000002</v>
      </c>
      <c r="AB218" s="6">
        <v>120</v>
      </c>
    </row>
    <row r="219" spans="26:28">
      <c r="Z219" s="10" t="s">
        <v>213</v>
      </c>
      <c r="AA219" s="6">
        <v>2.4</v>
      </c>
      <c r="AB219" s="6">
        <v>120</v>
      </c>
    </row>
    <row r="220" spans="26:28">
      <c r="Z220" s="9" t="s">
        <v>686</v>
      </c>
      <c r="AA220" s="6"/>
      <c r="AB220" s="6"/>
    </row>
    <row r="221" spans="26:28">
      <c r="Z221" s="10" t="s">
        <v>721</v>
      </c>
      <c r="AA221" s="6">
        <v>4.8000000000000001E-2</v>
      </c>
      <c r="AB221" s="6">
        <v>35</v>
      </c>
    </row>
    <row r="222" spans="26:28">
      <c r="Z222" s="10" t="s">
        <v>722</v>
      </c>
      <c r="AA222" s="6">
        <v>7.0000000000000007E-2</v>
      </c>
      <c r="AB222" s="6">
        <v>35</v>
      </c>
    </row>
    <row r="223" spans="26:28">
      <c r="Z223" s="10" t="s">
        <v>723</v>
      </c>
      <c r="AA223" s="6">
        <v>0.109</v>
      </c>
      <c r="AB223" s="6">
        <v>35</v>
      </c>
    </row>
    <row r="224" spans="26:28">
      <c r="Z224" s="10" t="s">
        <v>724</v>
      </c>
      <c r="AA224" s="6">
        <v>0.152</v>
      </c>
      <c r="AB224" s="6">
        <v>35</v>
      </c>
    </row>
    <row r="225" spans="26:28">
      <c r="Z225" s="10" t="s">
        <v>725</v>
      </c>
      <c r="AA225" s="6">
        <v>0.19400000000000001</v>
      </c>
      <c r="AB225" s="6">
        <v>35</v>
      </c>
    </row>
    <row r="226" spans="26:28">
      <c r="Z226" s="10" t="s">
        <v>726</v>
      </c>
      <c r="AA226" s="6">
        <v>0.2</v>
      </c>
      <c r="AB226" s="6">
        <v>35</v>
      </c>
    </row>
    <row r="227" spans="26:28">
      <c r="Z227" s="10" t="s">
        <v>727</v>
      </c>
      <c r="AA227" s="6">
        <v>0.27800000000000002</v>
      </c>
      <c r="AB227" s="6">
        <v>35</v>
      </c>
    </row>
    <row r="228" spans="26:28">
      <c r="Z228" s="10" t="s">
        <v>728</v>
      </c>
      <c r="AA228" s="6">
        <v>0.36199999999999999</v>
      </c>
      <c r="AB228" s="6">
        <v>35</v>
      </c>
    </row>
    <row r="229" spans="26:28">
      <c r="Z229" s="10" t="s">
        <v>729</v>
      </c>
      <c r="AA229" s="6">
        <v>0.44700000000000001</v>
      </c>
      <c r="AB229" s="6">
        <v>35</v>
      </c>
    </row>
    <row r="230" spans="26:28">
      <c r="Z230" s="9" t="s">
        <v>687</v>
      </c>
      <c r="AA230" s="6"/>
      <c r="AB230" s="6"/>
    </row>
    <row r="231" spans="26:28">
      <c r="Z231" s="10" t="s">
        <v>620</v>
      </c>
      <c r="AA231" s="6">
        <v>0.19</v>
      </c>
      <c r="AB231" s="6">
        <v>120</v>
      </c>
    </row>
    <row r="232" spans="26:28">
      <c r="Z232" s="10" t="s">
        <v>214</v>
      </c>
      <c r="AA232" s="6">
        <v>0.22700000000000001</v>
      </c>
      <c r="AB232" s="6">
        <v>120</v>
      </c>
    </row>
    <row r="233" spans="26:28">
      <c r="Z233" s="10" t="s">
        <v>623</v>
      </c>
      <c r="AA233" s="6">
        <v>0.23699999999999999</v>
      </c>
      <c r="AB233" s="6">
        <v>120</v>
      </c>
    </row>
    <row r="234" spans="26:28">
      <c r="Z234" s="10" t="s">
        <v>624</v>
      </c>
      <c r="AA234" s="6">
        <v>0.20300000000000001</v>
      </c>
      <c r="AB234" s="6">
        <v>120</v>
      </c>
    </row>
    <row r="235" spans="26:28">
      <c r="Z235" s="10" t="s">
        <v>215</v>
      </c>
      <c r="AA235" s="6">
        <v>0.28699999999999998</v>
      </c>
      <c r="AB235" s="6">
        <v>120</v>
      </c>
    </row>
    <row r="236" spans="26:28">
      <c r="Z236" s="10" t="s">
        <v>621</v>
      </c>
      <c r="AA236" s="6">
        <v>0.311</v>
      </c>
      <c r="AB236" s="6">
        <v>120</v>
      </c>
    </row>
    <row r="237" spans="26:28">
      <c r="Z237" s="10" t="s">
        <v>622</v>
      </c>
      <c r="AA237" s="6">
        <v>0.32300000000000001</v>
      </c>
      <c r="AB237" s="6">
        <v>120</v>
      </c>
    </row>
    <row r="238" spans="26:28">
      <c r="Z238" s="10" t="s">
        <v>216</v>
      </c>
      <c r="AA238" s="6">
        <v>0.435</v>
      </c>
      <c r="AB238" s="6">
        <v>120</v>
      </c>
    </row>
    <row r="239" spans="26:28">
      <c r="Z239" s="10" t="s">
        <v>217</v>
      </c>
      <c r="AA239" s="6">
        <v>0.55100000000000005</v>
      </c>
      <c r="AB239" s="6">
        <v>120</v>
      </c>
    </row>
    <row r="240" spans="26:28">
      <c r="Z240" s="10" t="s">
        <v>218</v>
      </c>
      <c r="AA240" s="6">
        <v>0.34</v>
      </c>
      <c r="AB240" s="6">
        <v>120</v>
      </c>
    </row>
    <row r="241" spans="26:28">
      <c r="Z241" s="10" t="s">
        <v>219</v>
      </c>
      <c r="AA241" s="6">
        <v>0.50800000000000001</v>
      </c>
      <c r="AB241" s="6">
        <v>120</v>
      </c>
    </row>
    <row r="242" spans="26:28">
      <c r="Z242" s="10" t="s">
        <v>220</v>
      </c>
      <c r="AA242" s="6">
        <v>0.63200000000000001</v>
      </c>
      <c r="AB242" s="6">
        <v>120</v>
      </c>
    </row>
    <row r="243" spans="26:28">
      <c r="Z243" s="10" t="s">
        <v>221</v>
      </c>
      <c r="AA243" s="6">
        <v>1.0009999999999999</v>
      </c>
      <c r="AB243" s="6">
        <v>120</v>
      </c>
    </row>
    <row r="244" spans="26:28">
      <c r="Z244" s="10" t="s">
        <v>222</v>
      </c>
      <c r="AA244" s="6">
        <v>0.40699999999999997</v>
      </c>
      <c r="AB244" s="6">
        <v>120</v>
      </c>
    </row>
    <row r="245" spans="26:28">
      <c r="Z245" s="10" t="s">
        <v>625</v>
      </c>
      <c r="AA245" s="6">
        <v>0.45</v>
      </c>
      <c r="AB245" s="6">
        <v>120</v>
      </c>
    </row>
    <row r="246" spans="26:28">
      <c r="Z246" s="10" t="s">
        <v>626</v>
      </c>
      <c r="AA246" s="6">
        <v>0.46200000000000002</v>
      </c>
      <c r="AB246" s="6">
        <v>120</v>
      </c>
    </row>
    <row r="247" spans="26:28">
      <c r="Z247" s="10" t="s">
        <v>223</v>
      </c>
      <c r="AA247" s="6">
        <v>0.57199999999999995</v>
      </c>
      <c r="AB247" s="6">
        <v>120</v>
      </c>
    </row>
    <row r="248" spans="26:28">
      <c r="Z248" s="10" t="s">
        <v>224</v>
      </c>
      <c r="AA248" s="6">
        <v>0.71299999999999997</v>
      </c>
      <c r="AB248" s="6">
        <v>120</v>
      </c>
    </row>
    <row r="249" spans="26:28">
      <c r="Z249" s="10" t="s">
        <v>225</v>
      </c>
      <c r="AA249" s="6">
        <v>1.103</v>
      </c>
      <c r="AB249" s="6">
        <v>120</v>
      </c>
    </row>
    <row r="250" spans="26:28">
      <c r="Z250" s="10" t="s">
        <v>226</v>
      </c>
      <c r="AA250" s="6">
        <v>1.5780000000000001</v>
      </c>
      <c r="AB250" s="6">
        <v>120</v>
      </c>
    </row>
    <row r="251" spans="26:28">
      <c r="Z251" s="10" t="s">
        <v>227</v>
      </c>
      <c r="AA251" s="6">
        <v>0.46600000000000003</v>
      </c>
      <c r="AB251" s="6">
        <v>120</v>
      </c>
    </row>
    <row r="252" spans="26:28">
      <c r="Z252" s="10" t="s">
        <v>228</v>
      </c>
      <c r="AA252" s="6">
        <v>0.66</v>
      </c>
      <c r="AB252" s="6">
        <v>120</v>
      </c>
    </row>
    <row r="253" spans="26:28">
      <c r="Z253" s="10" t="s">
        <v>229</v>
      </c>
      <c r="AA253" s="6">
        <v>0.79300000000000004</v>
      </c>
      <c r="AB253" s="6">
        <v>120</v>
      </c>
    </row>
    <row r="254" spans="26:28">
      <c r="Z254" s="10" t="s">
        <v>230</v>
      </c>
      <c r="AA254" s="6">
        <v>0.99299999999999999</v>
      </c>
      <c r="AB254" s="6">
        <v>120</v>
      </c>
    </row>
    <row r="255" spans="26:28">
      <c r="Z255" s="10" t="s">
        <v>231</v>
      </c>
      <c r="AA255" s="6">
        <v>1.1990000000000001</v>
      </c>
      <c r="AB255" s="6">
        <v>120</v>
      </c>
    </row>
    <row r="256" spans="26:28">
      <c r="Z256" s="10" t="s">
        <v>232</v>
      </c>
      <c r="AA256" s="6">
        <v>0.52600000000000002</v>
      </c>
      <c r="AB256" s="6">
        <v>120</v>
      </c>
    </row>
    <row r="257" spans="26:28">
      <c r="Z257" s="10" t="s">
        <v>627</v>
      </c>
      <c r="AA257" s="6">
        <v>0.54600000000000004</v>
      </c>
      <c r="AB257" s="6">
        <v>120</v>
      </c>
    </row>
    <row r="258" spans="26:28">
      <c r="Z258" s="10" t="s">
        <v>628</v>
      </c>
      <c r="AA258" s="6">
        <v>0.56200000000000006</v>
      </c>
      <c r="AB258" s="6">
        <v>120</v>
      </c>
    </row>
    <row r="259" spans="26:28">
      <c r="Z259" s="10" t="s">
        <v>233</v>
      </c>
      <c r="AA259" s="6">
        <v>0.72499999999999998</v>
      </c>
      <c r="AB259" s="6">
        <v>120</v>
      </c>
    </row>
    <row r="260" spans="26:28">
      <c r="Z260" s="10" t="s">
        <v>234</v>
      </c>
      <c r="AA260" s="6">
        <v>0.874</v>
      </c>
      <c r="AB260" s="6">
        <v>120</v>
      </c>
    </row>
    <row r="261" spans="26:28">
      <c r="Z261" s="10" t="s">
        <v>235</v>
      </c>
      <c r="AA261" s="6">
        <v>1.31</v>
      </c>
      <c r="AB261" s="6">
        <v>120</v>
      </c>
    </row>
    <row r="262" spans="26:28">
      <c r="Z262" s="10" t="s">
        <v>236</v>
      </c>
      <c r="AA262" s="6">
        <v>1.51</v>
      </c>
      <c r="AB262" s="6">
        <v>120</v>
      </c>
    </row>
    <row r="263" spans="26:28">
      <c r="Z263" s="10" t="s">
        <v>237</v>
      </c>
      <c r="AA263" s="6">
        <v>0.52600000000000002</v>
      </c>
      <c r="AB263" s="6">
        <v>120</v>
      </c>
    </row>
    <row r="264" spans="26:28">
      <c r="Z264" s="10" t="s">
        <v>629</v>
      </c>
      <c r="AA264" s="6">
        <v>0.69899999999999995</v>
      </c>
      <c r="AB264" s="6">
        <v>120</v>
      </c>
    </row>
    <row r="265" spans="26:28">
      <c r="Z265" s="10" t="s">
        <v>630</v>
      </c>
      <c r="AA265" s="6">
        <v>0.67800000000000005</v>
      </c>
      <c r="AB265" s="6">
        <v>120</v>
      </c>
    </row>
    <row r="266" spans="26:28">
      <c r="Z266" s="10" t="s">
        <v>238</v>
      </c>
      <c r="AA266" s="6">
        <v>0.87</v>
      </c>
      <c r="AB266" s="6">
        <v>120</v>
      </c>
    </row>
    <row r="267" spans="26:28">
      <c r="Z267" s="10" t="s">
        <v>239</v>
      </c>
      <c r="AA267" s="6">
        <v>1.036</v>
      </c>
      <c r="AB267" s="6">
        <v>120</v>
      </c>
    </row>
    <row r="268" spans="26:28">
      <c r="Z268" s="10" t="s">
        <v>240</v>
      </c>
      <c r="AA268" s="6">
        <v>1.5109999999999999</v>
      </c>
      <c r="AB268" s="6">
        <v>120</v>
      </c>
    </row>
    <row r="269" spans="26:28">
      <c r="Z269" s="10" t="s">
        <v>241</v>
      </c>
      <c r="AA269" s="6">
        <v>1.7110000000000001</v>
      </c>
      <c r="AB269" s="6">
        <v>120</v>
      </c>
    </row>
    <row r="270" spans="26:28">
      <c r="Z270" s="10" t="s">
        <v>242</v>
      </c>
      <c r="AA270" s="6">
        <v>0.79</v>
      </c>
      <c r="AB270" s="6">
        <v>120</v>
      </c>
    </row>
    <row r="271" spans="26:28">
      <c r="Z271" s="10" t="s">
        <v>631</v>
      </c>
      <c r="AA271" s="6">
        <v>0.8</v>
      </c>
      <c r="AB271" s="6">
        <v>120</v>
      </c>
    </row>
    <row r="272" spans="26:28">
      <c r="Z272" s="10" t="s">
        <v>632</v>
      </c>
      <c r="AA272" s="6">
        <v>0.81499999999999995</v>
      </c>
      <c r="AB272" s="6">
        <v>120</v>
      </c>
    </row>
    <row r="273" spans="26:28">
      <c r="Z273" s="10" t="s">
        <v>243</v>
      </c>
      <c r="AA273" s="6">
        <v>1.0149999999999999</v>
      </c>
      <c r="AB273" s="6">
        <v>120</v>
      </c>
    </row>
    <row r="274" spans="26:28">
      <c r="Z274" s="10" t="s">
        <v>244</v>
      </c>
      <c r="AA274" s="6">
        <v>1.198</v>
      </c>
      <c r="AB274" s="6">
        <v>120</v>
      </c>
    </row>
    <row r="275" spans="26:28">
      <c r="Z275" s="10" t="s">
        <v>245</v>
      </c>
      <c r="AA275" s="6">
        <v>1.3979999999999999</v>
      </c>
      <c r="AB275" s="6">
        <v>120</v>
      </c>
    </row>
    <row r="276" spans="26:28">
      <c r="Z276" s="10" t="s">
        <v>246</v>
      </c>
      <c r="AA276" s="6">
        <v>1.5980000000000001</v>
      </c>
      <c r="AB276" s="6">
        <v>120</v>
      </c>
    </row>
    <row r="277" spans="26:28">
      <c r="Z277" s="9" t="s">
        <v>688</v>
      </c>
      <c r="AA277" s="6"/>
      <c r="AB277" s="6"/>
    </row>
    <row r="278" spans="26:28">
      <c r="Z278" s="10" t="s">
        <v>247</v>
      </c>
      <c r="AA278" s="6">
        <v>2.1999999999999999E-2</v>
      </c>
      <c r="AB278" s="6">
        <v>35</v>
      </c>
    </row>
    <row r="279" spans="26:28">
      <c r="Z279" s="10" t="s">
        <v>714</v>
      </c>
      <c r="AA279" s="6">
        <v>2.5000000000000001E-2</v>
      </c>
      <c r="AB279" s="6">
        <v>35</v>
      </c>
    </row>
    <row r="280" spans="26:28">
      <c r="Z280" s="10" t="s">
        <v>248</v>
      </c>
      <c r="AA280" s="6">
        <v>3.5999999999999997E-2</v>
      </c>
      <c r="AB280" s="6">
        <v>35</v>
      </c>
    </row>
    <row r="281" spans="26:28">
      <c r="Z281" s="10" t="s">
        <v>249</v>
      </c>
      <c r="AA281" s="6">
        <v>5.0999999999999997E-2</v>
      </c>
      <c r="AB281" s="6">
        <v>35</v>
      </c>
    </row>
    <row r="282" spans="26:28">
      <c r="Z282" s="10" t="s">
        <v>250</v>
      </c>
      <c r="AA282" s="6">
        <v>6.5000000000000002E-2</v>
      </c>
      <c r="AB282" s="6">
        <v>35</v>
      </c>
    </row>
    <row r="283" spans="26:28">
      <c r="Z283" s="10" t="s">
        <v>251</v>
      </c>
      <c r="AA283" s="6">
        <v>7.9000000000000001E-2</v>
      </c>
      <c r="AB283" s="6">
        <v>35</v>
      </c>
    </row>
    <row r="284" spans="26:28">
      <c r="Z284" s="10" t="s">
        <v>252</v>
      </c>
      <c r="AA284" s="6">
        <v>9.2999999999999999E-2</v>
      </c>
      <c r="AB284" s="6">
        <v>35</v>
      </c>
    </row>
    <row r="285" spans="26:28">
      <c r="Z285" s="10" t="s">
        <v>253</v>
      </c>
      <c r="AA285" s="6">
        <v>0.121</v>
      </c>
      <c r="AB285" s="6">
        <v>35</v>
      </c>
    </row>
    <row r="286" spans="26:28">
      <c r="Z286" s="10" t="s">
        <v>254</v>
      </c>
      <c r="AA286" s="6">
        <v>0.14899999999999999</v>
      </c>
      <c r="AB286" s="6">
        <v>35</v>
      </c>
    </row>
    <row r="287" spans="26:28">
      <c r="Z287" s="9" t="s">
        <v>689</v>
      </c>
      <c r="AA287" s="6"/>
      <c r="AB287" s="6"/>
    </row>
    <row r="288" spans="26:28">
      <c r="Z288" s="10" t="s">
        <v>633</v>
      </c>
      <c r="AA288" s="6">
        <v>0.15</v>
      </c>
      <c r="AB288" s="6">
        <v>120</v>
      </c>
    </row>
    <row r="289" spans="26:28">
      <c r="Z289" s="10" t="s">
        <v>255</v>
      </c>
      <c r="AA289" s="6">
        <v>0.159</v>
      </c>
      <c r="AB289" s="6">
        <v>120</v>
      </c>
    </row>
    <row r="290" spans="26:28">
      <c r="Z290" s="10" t="s">
        <v>636</v>
      </c>
      <c r="AA290" s="6">
        <v>0.16500000000000001</v>
      </c>
      <c r="AB290" s="6">
        <v>120</v>
      </c>
    </row>
    <row r="291" spans="26:28">
      <c r="Z291" s="10" t="s">
        <v>637</v>
      </c>
      <c r="AA291" s="6">
        <v>0.17</v>
      </c>
      <c r="AB291" s="6">
        <v>120</v>
      </c>
    </row>
    <row r="292" spans="26:28">
      <c r="Z292" s="10" t="s">
        <v>256</v>
      </c>
      <c r="AA292" s="6">
        <v>0.21099999999999999</v>
      </c>
      <c r="AB292" s="6">
        <v>120</v>
      </c>
    </row>
    <row r="293" spans="26:28">
      <c r="Z293" s="10" t="s">
        <v>634</v>
      </c>
      <c r="AA293" s="6">
        <v>0.22600000000000001</v>
      </c>
      <c r="AB293" s="6">
        <v>120</v>
      </c>
    </row>
    <row r="294" spans="26:28">
      <c r="Z294" s="10" t="s">
        <v>635</v>
      </c>
      <c r="AA294" s="6">
        <v>0.253</v>
      </c>
      <c r="AB294" s="6">
        <v>120</v>
      </c>
    </row>
    <row r="295" spans="26:28">
      <c r="Z295" s="10" t="s">
        <v>257</v>
      </c>
      <c r="AA295" s="6">
        <v>0.28599999999999998</v>
      </c>
      <c r="AB295" s="6">
        <v>120</v>
      </c>
    </row>
    <row r="296" spans="26:28">
      <c r="Z296" s="10" t="s">
        <v>258</v>
      </c>
      <c r="AA296" s="6">
        <v>0.373</v>
      </c>
      <c r="AB296" s="6">
        <v>120</v>
      </c>
    </row>
    <row r="297" spans="26:28">
      <c r="Z297" s="10" t="s">
        <v>259</v>
      </c>
      <c r="AA297" s="6">
        <v>0.26300000000000001</v>
      </c>
      <c r="AB297" s="6">
        <v>120</v>
      </c>
    </row>
    <row r="298" spans="26:28">
      <c r="Z298" s="10" t="s">
        <v>260</v>
      </c>
      <c r="AA298" s="6">
        <v>0.36099999999999999</v>
      </c>
      <c r="AB298" s="6">
        <v>120</v>
      </c>
    </row>
    <row r="299" spans="26:28">
      <c r="Z299" s="10" t="s">
        <v>261</v>
      </c>
      <c r="AA299" s="6">
        <v>0.434</v>
      </c>
      <c r="AB299" s="6">
        <v>120</v>
      </c>
    </row>
    <row r="300" spans="26:28">
      <c r="Z300" s="10" t="s">
        <v>262</v>
      </c>
      <c r="AA300" s="6">
        <v>0.65100000000000002</v>
      </c>
      <c r="AB300" s="6">
        <v>120</v>
      </c>
    </row>
    <row r="301" spans="26:28">
      <c r="Z301" s="10" t="s">
        <v>263</v>
      </c>
      <c r="AA301" s="6">
        <v>0.315</v>
      </c>
      <c r="AB301" s="6">
        <v>120</v>
      </c>
    </row>
    <row r="302" spans="26:28">
      <c r="Z302" s="10" t="s">
        <v>638</v>
      </c>
      <c r="AA302" s="6">
        <v>0.33</v>
      </c>
      <c r="AB302" s="6">
        <v>120</v>
      </c>
    </row>
    <row r="303" spans="26:28">
      <c r="Z303" s="10" t="s">
        <v>639</v>
      </c>
      <c r="AA303" s="6">
        <v>0.38</v>
      </c>
      <c r="AB303" s="6">
        <v>120</v>
      </c>
    </row>
    <row r="304" spans="26:28">
      <c r="Z304" s="10" t="s">
        <v>264</v>
      </c>
      <c r="AA304" s="6">
        <v>0.41799999999999998</v>
      </c>
      <c r="AB304" s="6">
        <v>120</v>
      </c>
    </row>
    <row r="305" spans="26:28">
      <c r="Z305" s="10" t="s">
        <v>265</v>
      </c>
      <c r="AA305" s="6">
        <v>0.496</v>
      </c>
      <c r="AB305" s="6">
        <v>120</v>
      </c>
    </row>
    <row r="306" spans="26:28">
      <c r="Z306" s="10" t="s">
        <v>266</v>
      </c>
      <c r="AA306" s="6">
        <v>0.52</v>
      </c>
      <c r="AB306" s="6">
        <v>120</v>
      </c>
    </row>
    <row r="307" spans="26:28">
      <c r="Z307" s="10" t="s">
        <v>267</v>
      </c>
      <c r="AA307" s="6">
        <v>0.98799999999999999</v>
      </c>
      <c r="AB307" s="6">
        <v>120</v>
      </c>
    </row>
    <row r="308" spans="26:28">
      <c r="Z308" s="10" t="s">
        <v>268</v>
      </c>
      <c r="AA308" s="6">
        <v>0.48</v>
      </c>
      <c r="AB308" s="6">
        <v>120</v>
      </c>
    </row>
    <row r="309" spans="26:28">
      <c r="Z309" s="10" t="s">
        <v>269</v>
      </c>
      <c r="AA309" s="6">
        <v>0.5</v>
      </c>
      <c r="AB309" s="6">
        <v>120</v>
      </c>
    </row>
    <row r="310" spans="26:28">
      <c r="Z310" s="10" t="s">
        <v>270</v>
      </c>
      <c r="AA310" s="6">
        <v>0.7</v>
      </c>
      <c r="AB310" s="6">
        <v>120</v>
      </c>
    </row>
    <row r="311" spans="26:28">
      <c r="Z311" s="10" t="s">
        <v>271</v>
      </c>
      <c r="AA311" s="6">
        <v>0.9</v>
      </c>
      <c r="AB311" s="6">
        <v>120</v>
      </c>
    </row>
    <row r="312" spans="26:28">
      <c r="Z312" s="10" t="s">
        <v>272</v>
      </c>
      <c r="AA312" s="6">
        <v>1</v>
      </c>
      <c r="AB312" s="6">
        <v>120</v>
      </c>
    </row>
    <row r="313" spans="26:28">
      <c r="Z313" s="10" t="s">
        <v>273</v>
      </c>
      <c r="AA313" s="6">
        <v>0.49</v>
      </c>
      <c r="AB313" s="6">
        <v>120</v>
      </c>
    </row>
    <row r="314" spans="26:28">
      <c r="Z314" s="10" t="s">
        <v>640</v>
      </c>
      <c r="AA314" s="6">
        <v>0.5</v>
      </c>
      <c r="AB314" s="6">
        <v>120</v>
      </c>
    </row>
    <row r="315" spans="26:28">
      <c r="Z315" s="10" t="s">
        <v>641</v>
      </c>
      <c r="AA315" s="6">
        <v>0.51</v>
      </c>
      <c r="AB315" s="6">
        <v>120</v>
      </c>
    </row>
    <row r="316" spans="26:28">
      <c r="Z316" s="10" t="s">
        <v>274</v>
      </c>
      <c r="AA316" s="6">
        <v>0.53300000000000003</v>
      </c>
      <c r="AB316" s="6">
        <v>120</v>
      </c>
    </row>
    <row r="317" spans="26:28">
      <c r="Z317" s="10" t="s">
        <v>275</v>
      </c>
      <c r="AA317" s="6">
        <v>0.61899999999999999</v>
      </c>
      <c r="AB317" s="6">
        <v>120</v>
      </c>
    </row>
    <row r="318" spans="26:28">
      <c r="Z318" s="10" t="s">
        <v>276</v>
      </c>
      <c r="AA318" s="6">
        <v>0.86499999999999999</v>
      </c>
      <c r="AB318" s="6">
        <v>120</v>
      </c>
    </row>
    <row r="319" spans="26:28">
      <c r="Z319" s="10" t="s">
        <v>277</v>
      </c>
      <c r="AA319" s="6">
        <v>1.0649999999999999</v>
      </c>
      <c r="AB319" s="6">
        <v>120</v>
      </c>
    </row>
    <row r="320" spans="26:28">
      <c r="Z320" s="10" t="s">
        <v>278</v>
      </c>
      <c r="AA320" s="6">
        <v>0.52400000000000002</v>
      </c>
      <c r="AB320" s="6">
        <v>120</v>
      </c>
    </row>
    <row r="321" spans="26:28">
      <c r="Z321" s="10" t="s">
        <v>642</v>
      </c>
      <c r="AA321" s="6">
        <v>0.624</v>
      </c>
      <c r="AB321" s="6">
        <v>120</v>
      </c>
    </row>
    <row r="322" spans="26:28">
      <c r="Z322" s="10" t="s">
        <v>643</v>
      </c>
      <c r="AA322" s="6">
        <v>0.57799999999999996</v>
      </c>
      <c r="AB322" s="6">
        <v>120</v>
      </c>
    </row>
    <row r="323" spans="26:28">
      <c r="Z323" s="10" t="s">
        <v>279</v>
      </c>
      <c r="AA323" s="6">
        <v>0.67800000000000005</v>
      </c>
      <c r="AB323" s="6">
        <v>120</v>
      </c>
    </row>
    <row r="324" spans="26:28">
      <c r="Z324" s="10" t="s">
        <v>280</v>
      </c>
      <c r="AA324" s="6">
        <v>0.74199999999999999</v>
      </c>
      <c r="AB324" s="6">
        <v>120</v>
      </c>
    </row>
    <row r="325" spans="26:28">
      <c r="Z325" s="10" t="s">
        <v>281</v>
      </c>
      <c r="AA325" s="6">
        <v>0.94199999999999995</v>
      </c>
      <c r="AB325" s="6">
        <v>120</v>
      </c>
    </row>
    <row r="326" spans="26:28">
      <c r="Z326" s="10" t="s">
        <v>282</v>
      </c>
      <c r="AA326" s="6">
        <v>1.1419999999999999</v>
      </c>
      <c r="AB326" s="6">
        <v>120</v>
      </c>
    </row>
    <row r="327" spans="26:28">
      <c r="Z327" s="10" t="s">
        <v>283</v>
      </c>
      <c r="AA327" s="6">
        <v>0.74199999999999999</v>
      </c>
      <c r="AB327" s="6">
        <v>120</v>
      </c>
    </row>
    <row r="328" spans="26:28">
      <c r="Z328" s="10" t="s">
        <v>644</v>
      </c>
      <c r="AA328" s="6">
        <v>0.94199999999999995</v>
      </c>
      <c r="AB328" s="6">
        <v>120</v>
      </c>
    </row>
    <row r="329" spans="26:28">
      <c r="Z329" s="10" t="s">
        <v>645</v>
      </c>
      <c r="AA329" s="6">
        <v>1.145</v>
      </c>
      <c r="AB329" s="6">
        <v>120</v>
      </c>
    </row>
    <row r="330" spans="26:28">
      <c r="Z330" s="10" t="s">
        <v>284</v>
      </c>
      <c r="AA330" s="6">
        <v>0.76200000000000001</v>
      </c>
      <c r="AB330" s="6">
        <v>120</v>
      </c>
    </row>
    <row r="331" spans="26:28">
      <c r="Z331" s="10" t="s">
        <v>285</v>
      </c>
      <c r="AA331" s="6">
        <v>0.57799999999999996</v>
      </c>
      <c r="AB331" s="6">
        <v>120</v>
      </c>
    </row>
    <row r="332" spans="26:28">
      <c r="Z332" s="10" t="s">
        <v>286</v>
      </c>
      <c r="AA332" s="6">
        <v>0.77800000000000002</v>
      </c>
      <c r="AB332" s="6">
        <v>120</v>
      </c>
    </row>
    <row r="333" spans="26:28">
      <c r="Z333" s="10" t="s">
        <v>287</v>
      </c>
      <c r="AA333" s="6">
        <v>0.98799999999999999</v>
      </c>
      <c r="AB333" s="6">
        <v>120</v>
      </c>
    </row>
    <row r="334" spans="26:28">
      <c r="Z334" s="9" t="s">
        <v>690</v>
      </c>
      <c r="AA334" s="6"/>
      <c r="AB334" s="6"/>
    </row>
    <row r="335" spans="26:28">
      <c r="Z335" s="10" t="s">
        <v>288</v>
      </c>
      <c r="AA335" s="6">
        <v>2.1999999999999999E-2</v>
      </c>
      <c r="AB335" s="6">
        <v>35</v>
      </c>
    </row>
    <row r="336" spans="26:28">
      <c r="Z336" s="10" t="s">
        <v>646</v>
      </c>
      <c r="AA336" s="6">
        <v>0.03</v>
      </c>
      <c r="AB336" s="6">
        <v>35</v>
      </c>
    </row>
    <row r="337" spans="26:28">
      <c r="Z337" s="10" t="s">
        <v>289</v>
      </c>
      <c r="AA337" s="6">
        <v>3.5999999999999997E-2</v>
      </c>
      <c r="AB337" s="6">
        <v>35</v>
      </c>
    </row>
    <row r="338" spans="26:28">
      <c r="Z338" s="10" t="s">
        <v>290</v>
      </c>
      <c r="AA338" s="6">
        <v>5.0999999999999997E-2</v>
      </c>
      <c r="AB338" s="6">
        <v>35</v>
      </c>
    </row>
    <row r="339" spans="26:28">
      <c r="Z339" s="10" t="s">
        <v>291</v>
      </c>
      <c r="AA339" s="6">
        <v>6.5000000000000002E-2</v>
      </c>
      <c r="AB339" s="6">
        <v>35</v>
      </c>
    </row>
    <row r="340" spans="26:28">
      <c r="Z340" s="10" t="s">
        <v>292</v>
      </c>
      <c r="AA340" s="6">
        <v>0.08</v>
      </c>
      <c r="AB340" s="6">
        <v>35</v>
      </c>
    </row>
    <row r="341" spans="26:28">
      <c r="Z341" s="10" t="s">
        <v>293</v>
      </c>
      <c r="AA341" s="6">
        <v>9.2999999999999999E-2</v>
      </c>
      <c r="AB341" s="6">
        <v>35</v>
      </c>
    </row>
    <row r="342" spans="26:28">
      <c r="Z342" s="10" t="s">
        <v>294</v>
      </c>
      <c r="AA342" s="6">
        <v>0.121</v>
      </c>
      <c r="AB342" s="6">
        <v>35</v>
      </c>
    </row>
    <row r="343" spans="26:28">
      <c r="Z343" s="10" t="s">
        <v>295</v>
      </c>
      <c r="AA343" s="6">
        <v>0.14899999999999999</v>
      </c>
      <c r="AB343" s="6">
        <v>35</v>
      </c>
    </row>
    <row r="344" spans="26:28">
      <c r="Z344" s="26" t="s">
        <v>11</v>
      </c>
      <c r="AA344" s="6"/>
      <c r="AB344" s="6"/>
    </row>
    <row r="345" spans="26:28">
      <c r="Z345" s="10" t="s">
        <v>647</v>
      </c>
      <c r="AA345" s="6">
        <v>0.224</v>
      </c>
      <c r="AB345" s="6">
        <v>180</v>
      </c>
    </row>
    <row r="346" spans="26:28">
      <c r="Z346" s="10" t="s">
        <v>296</v>
      </c>
      <c r="AA346" s="6">
        <v>0.28199999999999997</v>
      </c>
      <c r="AB346" s="6">
        <v>180</v>
      </c>
    </row>
    <row r="347" spans="26:28">
      <c r="Z347" s="10" t="s">
        <v>648</v>
      </c>
      <c r="AA347" s="6">
        <v>0.33200000000000002</v>
      </c>
      <c r="AB347" s="6">
        <v>180</v>
      </c>
    </row>
    <row r="348" spans="26:28">
      <c r="Z348" s="10" t="s">
        <v>649</v>
      </c>
      <c r="AA348" s="6">
        <v>0.26900000000000002</v>
      </c>
      <c r="AB348" s="6">
        <v>180</v>
      </c>
    </row>
    <row r="349" spans="26:28">
      <c r="Z349" s="10" t="s">
        <v>297</v>
      </c>
      <c r="AA349" s="6">
        <v>0.443</v>
      </c>
      <c r="AB349" s="6">
        <v>180</v>
      </c>
    </row>
    <row r="350" spans="26:28">
      <c r="Z350" s="10" t="s">
        <v>650</v>
      </c>
      <c r="AA350" s="6">
        <v>0.49199999999999999</v>
      </c>
      <c r="AB350" s="6">
        <v>180</v>
      </c>
    </row>
    <row r="351" spans="26:28">
      <c r="Z351" s="10" t="s">
        <v>651</v>
      </c>
      <c r="AA351" s="6">
        <v>0.51500000000000001</v>
      </c>
      <c r="AB351" s="6">
        <v>180</v>
      </c>
    </row>
    <row r="352" spans="26:28">
      <c r="Z352" s="10" t="s">
        <v>298</v>
      </c>
      <c r="AA352" s="6">
        <v>0.59699999999999998</v>
      </c>
      <c r="AB352" s="6">
        <v>180</v>
      </c>
    </row>
    <row r="353" spans="26:28">
      <c r="Z353" s="10" t="s">
        <v>299</v>
      </c>
      <c r="AA353" s="6">
        <v>0.71199999999999997</v>
      </c>
      <c r="AB353" s="6">
        <v>180</v>
      </c>
    </row>
    <row r="354" spans="26:28">
      <c r="Z354" s="10" t="s">
        <v>300</v>
      </c>
      <c r="AA354" s="6">
        <v>0.60699999999999998</v>
      </c>
      <c r="AB354" s="6">
        <v>180</v>
      </c>
    </row>
    <row r="355" spans="26:28">
      <c r="Z355" s="10" t="s">
        <v>301</v>
      </c>
      <c r="AA355" s="6">
        <v>0.78400000000000003</v>
      </c>
      <c r="AB355" s="6">
        <v>180</v>
      </c>
    </row>
    <row r="356" spans="26:28">
      <c r="Z356" s="10" t="s">
        <v>302</v>
      </c>
      <c r="AA356" s="6">
        <v>0.91600000000000004</v>
      </c>
      <c r="AB356" s="6">
        <v>180</v>
      </c>
    </row>
    <row r="357" spans="26:28">
      <c r="Z357" s="10" t="s">
        <v>303</v>
      </c>
      <c r="AA357" s="6">
        <v>1.1910000000000001</v>
      </c>
      <c r="AB357" s="6">
        <v>180</v>
      </c>
    </row>
    <row r="358" spans="26:28">
      <c r="Z358" s="10" t="s">
        <v>304</v>
      </c>
      <c r="AA358" s="6">
        <v>0.79600000000000004</v>
      </c>
      <c r="AB358" s="6">
        <v>180</v>
      </c>
    </row>
    <row r="359" spans="26:28">
      <c r="Z359" s="10" t="s">
        <v>652</v>
      </c>
      <c r="AA359" s="6">
        <v>0.86099999999999999</v>
      </c>
      <c r="AB359" s="6">
        <v>180</v>
      </c>
    </row>
    <row r="360" spans="26:28">
      <c r="Z360" s="10" t="s">
        <v>653</v>
      </c>
      <c r="AA360" s="6">
        <v>0.89200000000000002</v>
      </c>
      <c r="AB360" s="6">
        <v>180</v>
      </c>
    </row>
    <row r="361" spans="26:28">
      <c r="Z361" s="10" t="s">
        <v>305</v>
      </c>
      <c r="AA361" s="6">
        <v>0.998</v>
      </c>
      <c r="AB361" s="6">
        <v>180</v>
      </c>
    </row>
    <row r="362" spans="26:28">
      <c r="Z362" s="10" t="s">
        <v>306</v>
      </c>
      <c r="AA362" s="6">
        <v>1.145</v>
      </c>
      <c r="AB362" s="6">
        <v>180</v>
      </c>
    </row>
    <row r="363" spans="26:28">
      <c r="Z363" s="10" t="s">
        <v>307</v>
      </c>
      <c r="AA363" s="6">
        <v>1.345</v>
      </c>
      <c r="AB363" s="6">
        <v>180</v>
      </c>
    </row>
    <row r="364" spans="26:28">
      <c r="Z364" s="10" t="s">
        <v>308</v>
      </c>
      <c r="AA364" s="6">
        <v>1.5449999999999999</v>
      </c>
      <c r="AB364" s="6">
        <v>180</v>
      </c>
    </row>
    <row r="365" spans="26:28">
      <c r="Z365" s="10" t="s">
        <v>309</v>
      </c>
      <c r="AA365" s="6">
        <v>1.151</v>
      </c>
      <c r="AB365" s="6">
        <v>180</v>
      </c>
    </row>
    <row r="366" spans="26:28">
      <c r="Z366" s="10" t="s">
        <v>310</v>
      </c>
      <c r="AA366" s="6">
        <v>1.351</v>
      </c>
      <c r="AB366" s="6">
        <v>180</v>
      </c>
    </row>
    <row r="367" spans="26:28">
      <c r="Z367" s="10" t="s">
        <v>311</v>
      </c>
      <c r="AA367" s="6">
        <v>1.5509999999999999</v>
      </c>
      <c r="AB367" s="6">
        <v>180</v>
      </c>
    </row>
    <row r="368" spans="26:28">
      <c r="Z368" s="10" t="s">
        <v>312</v>
      </c>
      <c r="AA368" s="6">
        <v>1.7509999999999999</v>
      </c>
      <c r="AB368" s="6">
        <v>180</v>
      </c>
    </row>
    <row r="369" spans="26:28">
      <c r="Z369" s="10" t="s">
        <v>313</v>
      </c>
      <c r="AA369" s="6">
        <v>1.9510000000000001</v>
      </c>
      <c r="AB369" s="6">
        <v>180</v>
      </c>
    </row>
    <row r="370" spans="26:28">
      <c r="Z370" s="10" t="s">
        <v>314</v>
      </c>
      <c r="AA370" s="6">
        <v>1.2509999999999999</v>
      </c>
      <c r="AB370" s="6">
        <v>180</v>
      </c>
    </row>
    <row r="371" spans="26:28">
      <c r="Z371" s="10" t="s">
        <v>654</v>
      </c>
      <c r="AA371" s="6">
        <v>1.3320000000000001</v>
      </c>
      <c r="AB371" s="6">
        <v>180</v>
      </c>
    </row>
    <row r="372" spans="26:28">
      <c r="Z372" s="10" t="s">
        <v>655</v>
      </c>
      <c r="AA372" s="6">
        <v>1.37</v>
      </c>
      <c r="AB372" s="6">
        <v>180</v>
      </c>
    </row>
    <row r="373" spans="26:28">
      <c r="Z373" s="10" t="s">
        <v>315</v>
      </c>
      <c r="AA373" s="6">
        <v>1.5009999999999999</v>
      </c>
      <c r="AB373" s="6">
        <v>180</v>
      </c>
    </row>
    <row r="374" spans="26:28">
      <c r="Z374" s="10" t="s">
        <v>316</v>
      </c>
      <c r="AA374" s="6">
        <v>1.68</v>
      </c>
      <c r="AB374" s="6">
        <v>180</v>
      </c>
    </row>
    <row r="375" spans="26:28">
      <c r="Z375" s="10" t="s">
        <v>317</v>
      </c>
      <c r="AA375" s="6">
        <v>2.1349999999999998</v>
      </c>
      <c r="AB375" s="6">
        <v>180</v>
      </c>
    </row>
    <row r="376" spans="26:28">
      <c r="Z376" s="10" t="s">
        <v>318</v>
      </c>
      <c r="AA376" s="6">
        <v>2.335</v>
      </c>
      <c r="AB376" s="6">
        <v>180</v>
      </c>
    </row>
    <row r="377" spans="26:28">
      <c r="Z377" s="10" t="s">
        <v>319</v>
      </c>
      <c r="AA377" s="6">
        <v>1.8089999999999999</v>
      </c>
      <c r="AB377" s="6">
        <v>180</v>
      </c>
    </row>
    <row r="378" spans="26:28">
      <c r="Z378" s="10" t="s">
        <v>656</v>
      </c>
      <c r="AA378" s="6">
        <v>1.905</v>
      </c>
      <c r="AB378" s="6">
        <v>180</v>
      </c>
    </row>
    <row r="379" spans="26:28">
      <c r="Z379" s="10" t="s">
        <v>657</v>
      </c>
      <c r="AA379" s="6">
        <v>1.9550000000000001</v>
      </c>
      <c r="AB379" s="6">
        <v>180</v>
      </c>
    </row>
    <row r="380" spans="26:28">
      <c r="Z380" s="10" t="s">
        <v>320</v>
      </c>
      <c r="AA380" s="6">
        <v>2.1059999999999999</v>
      </c>
      <c r="AB380" s="6">
        <v>180</v>
      </c>
    </row>
    <row r="381" spans="26:28">
      <c r="Z381" s="10" t="s">
        <v>321</v>
      </c>
      <c r="AA381" s="6">
        <v>2.3170000000000002</v>
      </c>
      <c r="AB381" s="6">
        <v>180</v>
      </c>
    </row>
    <row r="382" spans="26:28">
      <c r="Z382" s="10" t="s">
        <v>322</v>
      </c>
      <c r="AA382" s="6">
        <v>2.5169999999999999</v>
      </c>
      <c r="AB382" s="6">
        <v>180</v>
      </c>
    </row>
    <row r="383" spans="26:28">
      <c r="Z383" s="10" t="s">
        <v>323</v>
      </c>
      <c r="AA383" s="6">
        <v>2.7170000000000001</v>
      </c>
      <c r="AB383" s="6">
        <v>180</v>
      </c>
    </row>
    <row r="384" spans="26:28">
      <c r="Z384" s="10" t="s">
        <v>324</v>
      </c>
      <c r="AA384" s="6">
        <v>2.468</v>
      </c>
      <c r="AB384" s="6">
        <v>180</v>
      </c>
    </row>
    <row r="385" spans="26:28">
      <c r="Z385" s="10" t="s">
        <v>658</v>
      </c>
      <c r="AA385" s="6">
        <v>2.581</v>
      </c>
      <c r="AB385" s="6">
        <v>180</v>
      </c>
    </row>
    <row r="386" spans="26:28">
      <c r="Z386" s="10" t="s">
        <v>659</v>
      </c>
      <c r="AA386" s="6">
        <v>2.681</v>
      </c>
      <c r="AB386" s="6">
        <v>180</v>
      </c>
    </row>
    <row r="387" spans="26:28">
      <c r="Z387" s="10" t="s">
        <v>325</v>
      </c>
      <c r="AA387" s="6">
        <v>2.8130000000000002</v>
      </c>
      <c r="AB387" s="6">
        <v>180</v>
      </c>
    </row>
    <row r="388" spans="26:28">
      <c r="Z388" s="10" t="s">
        <v>326</v>
      </c>
      <c r="AA388" s="6">
        <v>3.056</v>
      </c>
      <c r="AB388" s="6">
        <v>180</v>
      </c>
    </row>
    <row r="389" spans="26:28">
      <c r="Z389" s="10" t="s">
        <v>327</v>
      </c>
      <c r="AA389" s="6">
        <v>3.2559999999999998</v>
      </c>
      <c r="AB389" s="6">
        <v>180</v>
      </c>
    </row>
    <row r="390" spans="26:28">
      <c r="Z390" s="10" t="s">
        <v>328</v>
      </c>
      <c r="AA390" s="6">
        <v>3.456</v>
      </c>
      <c r="AB390" s="6">
        <v>180</v>
      </c>
    </row>
    <row r="391" spans="26:28">
      <c r="Z391" s="9" t="s">
        <v>691</v>
      </c>
      <c r="AA391" s="6"/>
      <c r="AB391" s="6"/>
    </row>
    <row r="392" spans="26:28">
      <c r="Z392" s="10" t="s">
        <v>329</v>
      </c>
      <c r="AA392" s="6">
        <v>0.105</v>
      </c>
      <c r="AB392" s="6">
        <v>45</v>
      </c>
    </row>
    <row r="393" spans="26:28">
      <c r="Z393" s="10" t="s">
        <v>660</v>
      </c>
      <c r="AA393" s="6">
        <v>0.121</v>
      </c>
      <c r="AB393" s="6">
        <v>45</v>
      </c>
    </row>
    <row r="394" spans="26:28">
      <c r="Z394" s="10" t="s">
        <v>330</v>
      </c>
      <c r="AA394" s="6">
        <v>0.192</v>
      </c>
      <c r="AB394" s="6">
        <v>45</v>
      </c>
    </row>
    <row r="395" spans="26:28">
      <c r="Z395" s="10" t="s">
        <v>331</v>
      </c>
      <c r="AA395" s="6">
        <v>0.30299999999999999</v>
      </c>
      <c r="AB395" s="6">
        <v>45</v>
      </c>
    </row>
    <row r="396" spans="26:28">
      <c r="Z396" s="10" t="s">
        <v>332</v>
      </c>
      <c r="AA396" s="6">
        <v>0.443</v>
      </c>
      <c r="AB396" s="6">
        <v>45</v>
      </c>
    </row>
    <row r="397" spans="26:28">
      <c r="Z397" s="10" t="s">
        <v>333</v>
      </c>
      <c r="AA397" s="6">
        <v>0.60699999999999998</v>
      </c>
      <c r="AB397" s="6">
        <v>45</v>
      </c>
    </row>
    <row r="398" spans="26:28">
      <c r="Z398" s="10" t="s">
        <v>334</v>
      </c>
      <c r="AA398" s="6">
        <v>0.79500000000000004</v>
      </c>
      <c r="AB398" s="6">
        <v>45</v>
      </c>
    </row>
    <row r="399" spans="26:28">
      <c r="Z399" s="10" t="s">
        <v>335</v>
      </c>
      <c r="AA399" s="6">
        <v>1.25</v>
      </c>
      <c r="AB399" s="6">
        <v>45</v>
      </c>
    </row>
    <row r="400" spans="26:28">
      <c r="Z400" s="10" t="s">
        <v>336</v>
      </c>
      <c r="AA400" s="6">
        <v>1.806</v>
      </c>
      <c r="AB400" s="6">
        <v>45</v>
      </c>
    </row>
    <row r="401" spans="26:28">
      <c r="Z401" s="26" t="s">
        <v>12</v>
      </c>
      <c r="AA401" s="6"/>
      <c r="AB401" s="6"/>
    </row>
    <row r="402" spans="26:28">
      <c r="Z402" s="10" t="s">
        <v>661</v>
      </c>
      <c r="AA402" s="6">
        <v>0.27600000000000002</v>
      </c>
      <c r="AB402" s="6">
        <v>200</v>
      </c>
    </row>
    <row r="403" spans="26:28">
      <c r="Z403" s="10" t="s">
        <v>662</v>
      </c>
      <c r="AA403" s="6">
        <v>0.3</v>
      </c>
      <c r="AB403" s="6">
        <v>200</v>
      </c>
    </row>
    <row r="404" spans="26:28">
      <c r="Z404" s="10" t="s">
        <v>663</v>
      </c>
      <c r="AA404" s="6">
        <v>0.31900000000000001</v>
      </c>
      <c r="AB404" s="6">
        <v>200</v>
      </c>
    </row>
    <row r="405" spans="26:28">
      <c r="Z405" s="10" t="s">
        <v>337</v>
      </c>
      <c r="AA405" s="6">
        <v>0.33500000000000002</v>
      </c>
      <c r="AB405" s="6">
        <v>200</v>
      </c>
    </row>
    <row r="406" spans="26:28">
      <c r="Z406" s="10" t="s">
        <v>338</v>
      </c>
      <c r="AA406" s="6">
        <v>0.55200000000000005</v>
      </c>
      <c r="AB406" s="6">
        <v>200</v>
      </c>
    </row>
    <row r="407" spans="26:28">
      <c r="Z407" s="10" t="s">
        <v>664</v>
      </c>
      <c r="AA407" s="6">
        <v>0.621</v>
      </c>
      <c r="AB407" s="6">
        <v>200</v>
      </c>
    </row>
    <row r="408" spans="26:28">
      <c r="Z408" s="10" t="s">
        <v>665</v>
      </c>
      <c r="AA408" s="6">
        <v>0.65</v>
      </c>
      <c r="AB408" s="6">
        <v>200</v>
      </c>
    </row>
    <row r="409" spans="26:28">
      <c r="Z409" s="10" t="s">
        <v>339</v>
      </c>
      <c r="AA409" s="6">
        <v>0.85</v>
      </c>
      <c r="AB409" s="6">
        <v>200</v>
      </c>
    </row>
    <row r="410" spans="26:28">
      <c r="Z410" s="10" t="s">
        <v>340</v>
      </c>
      <c r="AA410" s="6">
        <v>0.93899999999999995</v>
      </c>
      <c r="AB410" s="6">
        <v>200</v>
      </c>
    </row>
    <row r="411" spans="26:28">
      <c r="Z411" s="10" t="s">
        <v>341</v>
      </c>
      <c r="AA411" s="6">
        <v>0.80600000000000005</v>
      </c>
      <c r="AB411" s="6">
        <v>200</v>
      </c>
    </row>
    <row r="412" spans="26:28">
      <c r="Z412" s="10" t="s">
        <v>342</v>
      </c>
      <c r="AA412" s="6">
        <v>0.89900000000000002</v>
      </c>
      <c r="AB412" s="6">
        <v>200</v>
      </c>
    </row>
    <row r="413" spans="26:28">
      <c r="Z413" s="10" t="s">
        <v>343</v>
      </c>
      <c r="AA413" s="6">
        <v>1.024</v>
      </c>
      <c r="AB413" s="6">
        <v>200</v>
      </c>
    </row>
    <row r="414" spans="26:28">
      <c r="Z414" s="10" t="s">
        <v>344</v>
      </c>
      <c r="AA414" s="6">
        <v>1.224</v>
      </c>
      <c r="AB414" s="6">
        <v>200</v>
      </c>
    </row>
    <row r="415" spans="26:28">
      <c r="Z415" s="10" t="s">
        <v>345</v>
      </c>
      <c r="AA415" s="6">
        <v>1.119</v>
      </c>
      <c r="AB415" s="6">
        <v>200</v>
      </c>
    </row>
    <row r="416" spans="26:28">
      <c r="Z416" s="10" t="s">
        <v>666</v>
      </c>
      <c r="AA416" s="6">
        <v>1.2</v>
      </c>
      <c r="AB416" s="6">
        <v>200</v>
      </c>
    </row>
    <row r="417" spans="26:28">
      <c r="Z417" s="10" t="s">
        <v>667</v>
      </c>
      <c r="AA417" s="6">
        <v>1.25</v>
      </c>
      <c r="AB417" s="6">
        <v>200</v>
      </c>
    </row>
    <row r="418" spans="26:28">
      <c r="Z418" s="10" t="s">
        <v>346</v>
      </c>
      <c r="AA418" s="6">
        <v>1.4239999999999999</v>
      </c>
      <c r="AB418" s="6">
        <v>200</v>
      </c>
    </row>
    <row r="419" spans="26:28">
      <c r="Z419" s="10" t="s">
        <v>347</v>
      </c>
      <c r="AA419" s="6">
        <v>1.647</v>
      </c>
      <c r="AB419" s="6">
        <v>200</v>
      </c>
    </row>
    <row r="420" spans="26:28">
      <c r="Z420" s="10" t="s">
        <v>348</v>
      </c>
      <c r="AA420" s="6">
        <v>1.847</v>
      </c>
      <c r="AB420" s="6">
        <v>200</v>
      </c>
    </row>
    <row r="421" spans="26:28">
      <c r="Z421" s="10" t="s">
        <v>349</v>
      </c>
      <c r="AA421" s="6">
        <v>2.0470000000000002</v>
      </c>
      <c r="AB421" s="6">
        <v>200</v>
      </c>
    </row>
    <row r="422" spans="26:28">
      <c r="Z422" s="10" t="s">
        <v>350</v>
      </c>
      <c r="AA422" s="6">
        <v>1.25</v>
      </c>
      <c r="AB422" s="6">
        <v>200</v>
      </c>
    </row>
    <row r="423" spans="26:28">
      <c r="Z423" s="10" t="s">
        <v>351</v>
      </c>
      <c r="AA423" s="6">
        <v>1.35</v>
      </c>
      <c r="AB423" s="6">
        <v>200</v>
      </c>
    </row>
    <row r="424" spans="26:28">
      <c r="Z424" s="10" t="s">
        <v>352</v>
      </c>
      <c r="AA424" s="6">
        <v>1.45</v>
      </c>
      <c r="AB424" s="6">
        <v>200</v>
      </c>
    </row>
    <row r="425" spans="26:28">
      <c r="Z425" s="10" t="s">
        <v>353</v>
      </c>
      <c r="AA425" s="6">
        <v>1.65</v>
      </c>
      <c r="AB425" s="6">
        <v>200</v>
      </c>
    </row>
    <row r="426" spans="26:28">
      <c r="Z426" s="10" t="s">
        <v>354</v>
      </c>
      <c r="AA426" s="6">
        <v>1.85</v>
      </c>
      <c r="AB426" s="6">
        <v>200</v>
      </c>
    </row>
    <row r="427" spans="26:28">
      <c r="Z427" s="10" t="s">
        <v>355</v>
      </c>
      <c r="AA427" s="6">
        <v>1.419</v>
      </c>
      <c r="AB427" s="6">
        <v>200</v>
      </c>
    </row>
    <row r="428" spans="26:28">
      <c r="Z428" s="10" t="s">
        <v>668</v>
      </c>
      <c r="AA428" s="6">
        <v>1.496</v>
      </c>
      <c r="AB428" s="6">
        <v>200</v>
      </c>
    </row>
    <row r="429" spans="26:28">
      <c r="Z429" s="10" t="s">
        <v>669</v>
      </c>
      <c r="AA429" s="6">
        <v>1.55</v>
      </c>
      <c r="AB429" s="6">
        <v>200</v>
      </c>
    </row>
    <row r="430" spans="26:28">
      <c r="Z430" s="10" t="s">
        <v>356</v>
      </c>
      <c r="AA430" s="6">
        <v>1.6559999999999999</v>
      </c>
      <c r="AB430" s="6">
        <v>200</v>
      </c>
    </row>
    <row r="431" spans="26:28">
      <c r="Z431" s="10" t="s">
        <v>357</v>
      </c>
      <c r="AA431" s="6">
        <v>1.786</v>
      </c>
      <c r="AB431" s="6">
        <v>200</v>
      </c>
    </row>
    <row r="432" spans="26:28">
      <c r="Z432" s="10" t="s">
        <v>358</v>
      </c>
      <c r="AA432" s="6">
        <v>2.282</v>
      </c>
      <c r="AB432" s="6">
        <v>200</v>
      </c>
    </row>
    <row r="433" spans="26:28">
      <c r="Z433" s="10" t="s">
        <v>359</v>
      </c>
      <c r="AA433" s="6">
        <v>2.4820000000000002</v>
      </c>
      <c r="AB433" s="6">
        <v>200</v>
      </c>
    </row>
    <row r="434" spans="26:28">
      <c r="Z434" s="10" t="s">
        <v>360</v>
      </c>
      <c r="AA434" s="6">
        <v>2.008</v>
      </c>
      <c r="AB434" s="6">
        <v>200</v>
      </c>
    </row>
    <row r="435" spans="26:28">
      <c r="Z435" s="10" t="s">
        <v>670</v>
      </c>
      <c r="AA435" s="6">
        <v>2.1080000000000001</v>
      </c>
      <c r="AB435" s="6">
        <v>200</v>
      </c>
    </row>
    <row r="436" spans="26:28">
      <c r="Z436" s="10" t="s">
        <v>671</v>
      </c>
      <c r="AA436" s="6">
        <v>2.1459999999999999</v>
      </c>
      <c r="AB436" s="6">
        <v>200</v>
      </c>
    </row>
    <row r="437" spans="26:28">
      <c r="Z437" s="10" t="s">
        <v>361</v>
      </c>
      <c r="AA437" s="6">
        <v>2.2890000000000001</v>
      </c>
      <c r="AB437" s="6">
        <v>200</v>
      </c>
    </row>
    <row r="438" spans="26:28">
      <c r="Z438" s="10" t="s">
        <v>362</v>
      </c>
      <c r="AA438" s="6">
        <v>2.4860000000000002</v>
      </c>
      <c r="AB438" s="6">
        <v>200</v>
      </c>
    </row>
    <row r="439" spans="26:28">
      <c r="Z439" s="10" t="s">
        <v>363</v>
      </c>
      <c r="AA439" s="6">
        <v>2.6859999999999999</v>
      </c>
      <c r="AB439" s="6">
        <v>200</v>
      </c>
    </row>
    <row r="440" spans="26:28">
      <c r="Z440" s="10" t="s">
        <v>364</v>
      </c>
      <c r="AA440" s="6">
        <v>2.8679999999999999</v>
      </c>
      <c r="AB440" s="6">
        <v>200</v>
      </c>
    </row>
    <row r="441" spans="26:28">
      <c r="Z441" s="10" t="s">
        <v>365</v>
      </c>
      <c r="AA441" s="6">
        <v>2.2080000000000002</v>
      </c>
      <c r="AB441" s="6">
        <v>200</v>
      </c>
    </row>
    <row r="442" spans="26:28">
      <c r="Z442" s="10" t="s">
        <v>672</v>
      </c>
      <c r="AA442" s="6">
        <v>2.1080000000000001</v>
      </c>
      <c r="AB442" s="6">
        <v>200</v>
      </c>
    </row>
    <row r="443" spans="26:28">
      <c r="Z443" s="10" t="s">
        <v>673</v>
      </c>
      <c r="AA443" s="6">
        <v>2.2080000000000002</v>
      </c>
      <c r="AB443" s="6">
        <v>200</v>
      </c>
    </row>
    <row r="444" spans="26:28">
      <c r="Z444" s="10" t="s">
        <v>366</v>
      </c>
      <c r="AA444" s="6">
        <v>2.4079999999999999</v>
      </c>
      <c r="AB444" s="6">
        <v>200</v>
      </c>
    </row>
    <row r="445" spans="26:28">
      <c r="Z445" s="10" t="s">
        <v>367</v>
      </c>
      <c r="AA445" s="6">
        <v>2.6080000000000001</v>
      </c>
      <c r="AB445" s="6">
        <v>200</v>
      </c>
    </row>
    <row r="446" spans="26:28">
      <c r="Z446" s="10" t="s">
        <v>368</v>
      </c>
      <c r="AA446" s="6">
        <v>2.8079999999999998</v>
      </c>
      <c r="AB446" s="6">
        <v>200</v>
      </c>
    </row>
    <row r="447" spans="26:28">
      <c r="Z447" s="10" t="s">
        <v>369</v>
      </c>
      <c r="AA447" s="6">
        <v>3.0880000000000001</v>
      </c>
      <c r="AB447" s="6">
        <v>200</v>
      </c>
    </row>
    <row r="448" spans="26:28">
      <c r="Z448" s="9" t="s">
        <v>676</v>
      </c>
      <c r="AA448" s="6"/>
      <c r="AB448" s="6"/>
    </row>
    <row r="449" spans="26:28">
      <c r="Z449" s="10" t="s">
        <v>370</v>
      </c>
      <c r="AA449" s="6">
        <v>0.13800000000000001</v>
      </c>
      <c r="AB449" s="6">
        <v>60</v>
      </c>
    </row>
    <row r="450" spans="26:28">
      <c r="Z450" s="10" t="s">
        <v>674</v>
      </c>
      <c r="AA450" s="6">
        <v>0.18</v>
      </c>
      <c r="AB450" s="6">
        <v>60</v>
      </c>
    </row>
    <row r="451" spans="26:28">
      <c r="Z451" s="10" t="s">
        <v>371</v>
      </c>
      <c r="AA451" s="6">
        <v>0.24099999999999999</v>
      </c>
      <c r="AB451" s="6">
        <v>60</v>
      </c>
    </row>
    <row r="452" spans="26:28">
      <c r="Z452" s="10" t="s">
        <v>372</v>
      </c>
      <c r="AA452" s="6">
        <v>0.36099999999999999</v>
      </c>
      <c r="AB452" s="6">
        <v>60</v>
      </c>
    </row>
    <row r="453" spans="26:28">
      <c r="Z453" s="10" t="s">
        <v>373</v>
      </c>
      <c r="AA453" s="6">
        <v>0.53</v>
      </c>
      <c r="AB453" s="6">
        <v>60</v>
      </c>
    </row>
    <row r="454" spans="26:28">
      <c r="Z454" s="10" t="s">
        <v>374</v>
      </c>
      <c r="AA454" s="6">
        <v>0.7</v>
      </c>
      <c r="AB454" s="6">
        <v>60</v>
      </c>
    </row>
    <row r="455" spans="26:28">
      <c r="Z455" s="10" t="s">
        <v>375</v>
      </c>
      <c r="AA455" s="6">
        <v>0.88100000000000001</v>
      </c>
      <c r="AB455" s="6">
        <v>60</v>
      </c>
    </row>
    <row r="456" spans="26:28">
      <c r="Z456" s="10" t="s">
        <v>376</v>
      </c>
      <c r="AA456" s="6">
        <v>1.391</v>
      </c>
      <c r="AB456" s="6">
        <v>60</v>
      </c>
    </row>
    <row r="457" spans="26:28">
      <c r="Z457" s="10" t="s">
        <v>377</v>
      </c>
      <c r="AA457" s="6">
        <v>1.9750000000000001</v>
      </c>
      <c r="AB457" s="6">
        <v>60</v>
      </c>
    </row>
    <row r="458" spans="26:28">
      <c r="Z458" s="9" t="s">
        <v>675</v>
      </c>
      <c r="AA458" s="6"/>
      <c r="AB458" s="6"/>
    </row>
    <row r="459" spans="26:28">
      <c r="Z459" s="7" t="s">
        <v>378</v>
      </c>
      <c r="AA459" s="6">
        <v>0.28699999999999998</v>
      </c>
      <c r="AB459" s="6">
        <v>120</v>
      </c>
    </row>
    <row r="460" spans="26:28">
      <c r="Z460" s="7" t="s">
        <v>379</v>
      </c>
      <c r="AA460" s="6">
        <v>0.254</v>
      </c>
      <c r="AB460" s="6">
        <v>120</v>
      </c>
    </row>
    <row r="461" spans="26:28">
      <c r="Z461" s="7" t="s">
        <v>380</v>
      </c>
      <c r="AA461" s="6">
        <v>0.313</v>
      </c>
      <c r="AB461" s="6">
        <v>120</v>
      </c>
    </row>
    <row r="462" spans="26:28">
      <c r="Z462" s="7" t="s">
        <v>381</v>
      </c>
      <c r="AA462" s="6">
        <v>0.30599999999999999</v>
      </c>
      <c r="AB462" s="6">
        <v>120</v>
      </c>
    </row>
    <row r="463" spans="26:28">
      <c r="Z463" s="7" t="s">
        <v>382</v>
      </c>
      <c r="AA463" s="6">
        <v>0.39800000000000002</v>
      </c>
      <c r="AB463" s="6">
        <v>120</v>
      </c>
    </row>
    <row r="464" spans="26:28">
      <c r="Z464" s="7" t="s">
        <v>383</v>
      </c>
      <c r="AA464" s="6">
        <v>0.40100000000000002</v>
      </c>
      <c r="AB464" s="6">
        <v>120</v>
      </c>
    </row>
    <row r="465" spans="26:28">
      <c r="Z465" s="7" t="s">
        <v>384</v>
      </c>
      <c r="AA465" s="6">
        <v>0.38700000000000001</v>
      </c>
      <c r="AB465" s="6">
        <v>120</v>
      </c>
    </row>
    <row r="466" spans="26:28">
      <c r="Z466" s="7" t="s">
        <v>385</v>
      </c>
      <c r="AA466" s="6">
        <v>0.503</v>
      </c>
      <c r="AB466" s="6">
        <v>120</v>
      </c>
    </row>
    <row r="467" spans="26:28">
      <c r="Z467" s="7" t="s">
        <v>386</v>
      </c>
      <c r="AA467" s="6">
        <v>0.49199999999999999</v>
      </c>
      <c r="AB467" s="6">
        <v>120</v>
      </c>
    </row>
    <row r="468" spans="26:28">
      <c r="Z468" s="7" t="s">
        <v>387</v>
      </c>
      <c r="AA468" s="6">
        <v>0.57799999999999996</v>
      </c>
      <c r="AB468" s="6">
        <v>120</v>
      </c>
    </row>
    <row r="469" spans="26:28">
      <c r="Z469" s="7" t="s">
        <v>388</v>
      </c>
      <c r="AA469" s="6">
        <v>0.58699999999999997</v>
      </c>
      <c r="AB469" s="6">
        <v>120</v>
      </c>
    </row>
    <row r="470" spans="26:28">
      <c r="Z470" s="7" t="s">
        <v>389</v>
      </c>
      <c r="AA470" s="6">
        <v>0.57799999999999996</v>
      </c>
      <c r="AB470" s="6">
        <v>120</v>
      </c>
    </row>
    <row r="471" spans="26:28">
      <c r="Z471" s="7" t="s">
        <v>390</v>
      </c>
      <c r="AA471" s="6">
        <v>0.70199999999999996</v>
      </c>
      <c r="AB471" s="6">
        <v>120</v>
      </c>
    </row>
    <row r="472" spans="26:28">
      <c r="Z472" s="7" t="s">
        <v>391</v>
      </c>
      <c r="AA472" s="6">
        <v>0.8</v>
      </c>
      <c r="AB472" s="6">
        <v>120</v>
      </c>
    </row>
    <row r="473" spans="26:28">
      <c r="Z473" s="7" t="s">
        <v>392</v>
      </c>
      <c r="AA473" s="6">
        <v>0.32500000000000001</v>
      </c>
      <c r="AB473" s="6">
        <v>120</v>
      </c>
    </row>
    <row r="474" spans="26:28">
      <c r="Z474" s="7" t="s">
        <v>393</v>
      </c>
      <c r="AA474" s="6">
        <v>0.371</v>
      </c>
      <c r="AB474" s="6">
        <v>120</v>
      </c>
    </row>
    <row r="475" spans="26:28">
      <c r="Z475" s="7" t="s">
        <v>394</v>
      </c>
      <c r="AA475" s="6">
        <v>0.378</v>
      </c>
      <c r="AB475" s="6">
        <v>120</v>
      </c>
    </row>
    <row r="476" spans="26:28">
      <c r="Z476" s="7" t="s">
        <v>395</v>
      </c>
      <c r="AA476" s="6">
        <v>0.48199999999999998</v>
      </c>
      <c r="AB476" s="6">
        <v>120</v>
      </c>
    </row>
    <row r="477" spans="26:28">
      <c r="Z477" s="7" t="s">
        <v>396</v>
      </c>
      <c r="AA477" s="6">
        <v>0.5</v>
      </c>
      <c r="AB477" s="6">
        <v>120</v>
      </c>
    </row>
    <row r="478" spans="26:28">
      <c r="Z478" s="7" t="s">
        <v>397</v>
      </c>
      <c r="AA478" s="6">
        <v>0.47699999999999998</v>
      </c>
      <c r="AB478" s="6">
        <v>120</v>
      </c>
    </row>
    <row r="479" spans="26:28">
      <c r="Z479" s="7" t="s">
        <v>398</v>
      </c>
      <c r="AA479" s="6">
        <v>0.59</v>
      </c>
      <c r="AB479" s="6">
        <v>120</v>
      </c>
    </row>
    <row r="480" spans="26:28">
      <c r="Z480" s="7" t="s">
        <v>399</v>
      </c>
      <c r="AA480" s="6">
        <v>0.58299999999999996</v>
      </c>
      <c r="AB480" s="6">
        <v>120</v>
      </c>
    </row>
    <row r="481" spans="26:28">
      <c r="Z481" s="7" t="s">
        <v>400</v>
      </c>
      <c r="AA481" s="6">
        <v>0.68300000000000005</v>
      </c>
      <c r="AB481" s="6">
        <v>120</v>
      </c>
    </row>
    <row r="482" spans="26:28">
      <c r="Z482" s="7" t="s">
        <v>401</v>
      </c>
      <c r="AA482" s="6">
        <v>0.78300000000000003</v>
      </c>
      <c r="AB482" s="6">
        <v>120</v>
      </c>
    </row>
    <row r="483" spans="26:28">
      <c r="Z483" s="7" t="s">
        <v>402</v>
      </c>
      <c r="AA483" s="6">
        <v>0.88300000000000001</v>
      </c>
      <c r="AB483" s="6">
        <v>120</v>
      </c>
    </row>
    <row r="484" spans="26:28">
      <c r="Z484" s="7" t="s">
        <v>403</v>
      </c>
      <c r="AA484" s="6">
        <v>0.98299999999999998</v>
      </c>
      <c r="AB484" s="6">
        <v>120</v>
      </c>
    </row>
    <row r="485" spans="26:28">
      <c r="Z485" s="7" t="s">
        <v>404</v>
      </c>
      <c r="AA485" s="6">
        <v>1.083</v>
      </c>
      <c r="AB485" s="6">
        <v>120</v>
      </c>
    </row>
    <row r="486" spans="26:28">
      <c r="Z486" s="7" t="s">
        <v>405</v>
      </c>
      <c r="AA486" s="6">
        <v>0.38800000000000001</v>
      </c>
      <c r="AB486" s="6">
        <v>120</v>
      </c>
    </row>
    <row r="487" spans="26:28">
      <c r="Z487" s="7" t="s">
        <v>406</v>
      </c>
      <c r="AA487" s="6">
        <v>0.42599999999999999</v>
      </c>
      <c r="AB487" s="6">
        <v>120</v>
      </c>
    </row>
    <row r="488" spans="26:28">
      <c r="Z488" s="7" t="s">
        <v>407</v>
      </c>
      <c r="AA488" s="6">
        <v>0.48199999999999998</v>
      </c>
      <c r="AB488" s="6">
        <v>120</v>
      </c>
    </row>
    <row r="489" spans="26:28">
      <c r="Z489" s="7" t="s">
        <v>408</v>
      </c>
      <c r="AA489" s="6">
        <v>0.54700000000000004</v>
      </c>
      <c r="AB489" s="6">
        <v>120</v>
      </c>
    </row>
    <row r="490" spans="26:28">
      <c r="Z490" s="7" t="s">
        <v>409</v>
      </c>
      <c r="AA490" s="6">
        <v>0.55000000000000004</v>
      </c>
      <c r="AB490" s="6">
        <v>120</v>
      </c>
    </row>
    <row r="491" spans="26:28">
      <c r="Z491" s="7" t="s">
        <v>410</v>
      </c>
      <c r="AA491" s="6">
        <v>0.53700000000000003</v>
      </c>
      <c r="AB491" s="6">
        <v>120</v>
      </c>
    </row>
    <row r="492" spans="26:28">
      <c r="Z492" s="7" t="s">
        <v>411</v>
      </c>
      <c r="AA492" s="6">
        <v>0.67700000000000005</v>
      </c>
      <c r="AB492" s="6">
        <v>120</v>
      </c>
    </row>
    <row r="493" spans="26:28">
      <c r="Z493" s="7" t="s">
        <v>412</v>
      </c>
      <c r="AA493" s="6">
        <v>0.64800000000000002</v>
      </c>
      <c r="AB493" s="6">
        <v>120</v>
      </c>
    </row>
    <row r="494" spans="26:28">
      <c r="Z494" s="7" t="s">
        <v>413</v>
      </c>
      <c r="AA494" s="6">
        <v>0.77200000000000002</v>
      </c>
      <c r="AB494" s="6">
        <v>120</v>
      </c>
    </row>
    <row r="495" spans="26:28">
      <c r="Z495" s="7" t="s">
        <v>414</v>
      </c>
      <c r="AA495" s="6">
        <v>0.77800000000000002</v>
      </c>
      <c r="AB495" s="6">
        <v>120</v>
      </c>
    </row>
    <row r="496" spans="26:28">
      <c r="Z496" s="7" t="s">
        <v>415</v>
      </c>
      <c r="AA496" s="6">
        <v>0.75900000000000001</v>
      </c>
      <c r="AB496" s="6">
        <v>120</v>
      </c>
    </row>
    <row r="497" spans="26:28">
      <c r="Z497" s="9" t="s">
        <v>677</v>
      </c>
      <c r="AA497" s="6"/>
      <c r="AB497" s="6"/>
    </row>
    <row r="498" spans="26:28">
      <c r="Z498" s="7" t="s">
        <v>416</v>
      </c>
      <c r="AA498" s="6">
        <v>0.08</v>
      </c>
      <c r="AB498" s="6">
        <v>35</v>
      </c>
    </row>
    <row r="499" spans="26:28">
      <c r="Z499" s="7" t="s">
        <v>417</v>
      </c>
      <c r="AA499" s="6">
        <v>0.09</v>
      </c>
      <c r="AB499" s="6">
        <v>35</v>
      </c>
    </row>
    <row r="500" spans="26:28">
      <c r="Z500" s="7" t="s">
        <v>418</v>
      </c>
      <c r="AA500" s="6">
        <v>0.11700000000000001</v>
      </c>
      <c r="AB500" s="6">
        <v>35</v>
      </c>
    </row>
    <row r="501" spans="26:28">
      <c r="Z501" s="7" t="s">
        <v>419</v>
      </c>
      <c r="AA501" s="6">
        <v>0.25</v>
      </c>
      <c r="AB501" s="6">
        <v>35</v>
      </c>
    </row>
    <row r="502" spans="26:28">
      <c r="Z502" s="7" t="s">
        <v>420</v>
      </c>
      <c r="AA502" s="6">
        <v>0.314</v>
      </c>
      <c r="AB502" s="6">
        <v>35</v>
      </c>
    </row>
    <row r="503" spans="26:28">
      <c r="Z503" s="7" t="s">
        <v>421</v>
      </c>
      <c r="AA503" s="6">
        <v>0.35</v>
      </c>
      <c r="AB503" s="6">
        <v>35</v>
      </c>
    </row>
    <row r="504" spans="26:28">
      <c r="Z504" s="7" t="s">
        <v>422</v>
      </c>
      <c r="AA504" s="6">
        <v>0.371</v>
      </c>
      <c r="AB504" s="6">
        <v>35</v>
      </c>
    </row>
    <row r="505" spans="26:28">
      <c r="Z505" s="7" t="s">
        <v>423</v>
      </c>
      <c r="AA505" s="6">
        <v>0.217</v>
      </c>
      <c r="AB505" s="6">
        <v>35</v>
      </c>
    </row>
    <row r="506" spans="26:28">
      <c r="Z506" s="7" t="s">
        <v>424</v>
      </c>
      <c r="AA506" s="6">
        <v>0.215</v>
      </c>
      <c r="AB506" s="6">
        <v>35</v>
      </c>
    </row>
    <row r="507" spans="26:28">
      <c r="Z507" s="7" t="s">
        <v>425</v>
      </c>
      <c r="AA507" s="6">
        <v>0.315</v>
      </c>
      <c r="AB507" s="6">
        <v>35</v>
      </c>
    </row>
    <row r="508" spans="26:28">
      <c r="Z508" s="7" t="s">
        <v>426</v>
      </c>
      <c r="AA508" s="6">
        <v>0.41499999999999998</v>
      </c>
      <c r="AB508" s="6">
        <v>35</v>
      </c>
    </row>
    <row r="509" spans="26:28">
      <c r="Z509" s="7" t="s">
        <v>427</v>
      </c>
      <c r="AA509" s="6">
        <v>0.51500000000000001</v>
      </c>
      <c r="AB509" s="6">
        <v>35</v>
      </c>
    </row>
    <row r="510" spans="26:28">
      <c r="Z510" s="7" t="s">
        <v>428</v>
      </c>
      <c r="AA510" s="6">
        <v>0.61499999999999999</v>
      </c>
      <c r="AB510" s="6">
        <v>35</v>
      </c>
    </row>
    <row r="511" spans="26:28">
      <c r="Z511" s="7" t="s">
        <v>429</v>
      </c>
      <c r="AA511" s="6">
        <v>0.71499999999999997</v>
      </c>
      <c r="AB511" s="6">
        <v>35</v>
      </c>
    </row>
    <row r="512" spans="26:28">
      <c r="Z512" s="9" t="s">
        <v>678</v>
      </c>
      <c r="AA512" s="6"/>
      <c r="AB512" s="6"/>
    </row>
    <row r="513" spans="26:28">
      <c r="Z513" s="7" t="s">
        <v>430</v>
      </c>
      <c r="AA513" s="6">
        <v>0.28699999999999998</v>
      </c>
      <c r="AB513" s="6">
        <v>120</v>
      </c>
    </row>
    <row r="514" spans="26:28">
      <c r="Z514" s="7" t="s">
        <v>431</v>
      </c>
      <c r="AA514" s="6">
        <v>0.254</v>
      </c>
      <c r="AB514" s="6">
        <v>120</v>
      </c>
    </row>
    <row r="515" spans="26:28">
      <c r="Z515" s="7" t="s">
        <v>432</v>
      </c>
      <c r="AA515" s="6">
        <v>0.313</v>
      </c>
      <c r="AB515" s="6">
        <v>120</v>
      </c>
    </row>
    <row r="516" spans="26:28">
      <c r="Z516" s="7" t="s">
        <v>433</v>
      </c>
      <c r="AA516" s="6">
        <v>0.30599999999999999</v>
      </c>
      <c r="AB516" s="6">
        <v>120</v>
      </c>
    </row>
    <row r="517" spans="26:28">
      <c r="Z517" s="7" t="s">
        <v>434</v>
      </c>
      <c r="AA517" s="6">
        <v>0.39800000000000002</v>
      </c>
      <c r="AB517" s="6">
        <v>120</v>
      </c>
    </row>
    <row r="518" spans="26:28">
      <c r="Z518" s="7" t="s">
        <v>435</v>
      </c>
      <c r="AA518" s="6">
        <v>0.40100000000000002</v>
      </c>
      <c r="AB518" s="6">
        <v>120</v>
      </c>
    </row>
    <row r="519" spans="26:28">
      <c r="Z519" s="7" t="s">
        <v>436</v>
      </c>
      <c r="AA519" s="6">
        <v>0.38700000000000001</v>
      </c>
      <c r="AB519" s="6">
        <v>120</v>
      </c>
    </row>
    <row r="520" spans="26:28">
      <c r="Z520" s="7" t="s">
        <v>437</v>
      </c>
      <c r="AA520" s="6">
        <v>0.503</v>
      </c>
      <c r="AB520" s="6">
        <v>120</v>
      </c>
    </row>
    <row r="521" spans="26:28">
      <c r="Z521" s="7" t="s">
        <v>438</v>
      </c>
      <c r="AA521" s="6">
        <v>0.49199999999999999</v>
      </c>
      <c r="AB521" s="6">
        <v>120</v>
      </c>
    </row>
    <row r="522" spans="26:28">
      <c r="Z522" s="7" t="s">
        <v>439</v>
      </c>
      <c r="AA522" s="6">
        <v>0.57799999999999996</v>
      </c>
      <c r="AB522" s="6">
        <v>120</v>
      </c>
    </row>
    <row r="523" spans="26:28">
      <c r="Z523" s="7" t="s">
        <v>440</v>
      </c>
      <c r="AA523" s="6">
        <v>0.58699999999999997</v>
      </c>
      <c r="AB523" s="6">
        <v>120</v>
      </c>
    </row>
    <row r="524" spans="26:28">
      <c r="Z524" s="7" t="s">
        <v>441</v>
      </c>
      <c r="AA524" s="6">
        <v>0.57799999999999996</v>
      </c>
      <c r="AB524" s="6">
        <v>120</v>
      </c>
    </row>
    <row r="525" spans="26:28">
      <c r="Z525" s="7" t="s">
        <v>442</v>
      </c>
      <c r="AA525" s="6">
        <v>0.70199999999999996</v>
      </c>
      <c r="AB525" s="6">
        <v>120</v>
      </c>
    </row>
    <row r="526" spans="26:28">
      <c r="Z526" s="7" t="s">
        <v>443</v>
      </c>
      <c r="AA526" s="6">
        <v>0.80500000000000005</v>
      </c>
      <c r="AB526" s="6">
        <v>120</v>
      </c>
    </row>
    <row r="527" spans="26:28">
      <c r="Z527" s="7" t="s">
        <v>444</v>
      </c>
      <c r="AA527" s="6">
        <v>0.32500000000000001</v>
      </c>
      <c r="AB527" s="6">
        <v>120</v>
      </c>
    </row>
    <row r="528" spans="26:28">
      <c r="Z528" s="7" t="s">
        <v>445</v>
      </c>
      <c r="AA528" s="6">
        <v>0.371</v>
      </c>
      <c r="AB528" s="6">
        <v>120</v>
      </c>
    </row>
    <row r="529" spans="26:28">
      <c r="Z529" s="7" t="s">
        <v>446</v>
      </c>
      <c r="AA529" s="6">
        <v>0.378</v>
      </c>
      <c r="AB529" s="6">
        <v>120</v>
      </c>
    </row>
    <row r="530" spans="26:28">
      <c r="Z530" s="7" t="s">
        <v>447</v>
      </c>
      <c r="AA530" s="6">
        <v>0.48199999999999998</v>
      </c>
      <c r="AB530" s="6">
        <v>120</v>
      </c>
    </row>
    <row r="531" spans="26:28">
      <c r="Z531" s="7" t="s">
        <v>448</v>
      </c>
      <c r="AA531" s="6">
        <v>0.5</v>
      </c>
      <c r="AB531" s="6">
        <v>120</v>
      </c>
    </row>
    <row r="532" spans="26:28">
      <c r="Z532" s="7" t="s">
        <v>449</v>
      </c>
      <c r="AA532" s="6">
        <v>0.47699999999999998</v>
      </c>
      <c r="AB532" s="6">
        <v>120</v>
      </c>
    </row>
    <row r="533" spans="26:28">
      <c r="Z533" s="7" t="s">
        <v>450</v>
      </c>
      <c r="AA533" s="6">
        <v>0.59</v>
      </c>
      <c r="AB533" s="6">
        <v>120</v>
      </c>
    </row>
    <row r="534" spans="26:28">
      <c r="Z534" s="7" t="s">
        <v>451</v>
      </c>
      <c r="AA534" s="6">
        <v>0.58299999999999996</v>
      </c>
      <c r="AB534" s="6">
        <v>120</v>
      </c>
    </row>
    <row r="535" spans="26:28">
      <c r="Z535" s="7" t="s">
        <v>452</v>
      </c>
      <c r="AA535" s="6">
        <v>0.63</v>
      </c>
      <c r="AB535" s="6">
        <v>120</v>
      </c>
    </row>
    <row r="536" spans="26:28">
      <c r="Z536" s="7" t="s">
        <v>453</v>
      </c>
      <c r="AA536" s="6">
        <v>0.7</v>
      </c>
      <c r="AB536" s="6">
        <v>120</v>
      </c>
    </row>
    <row r="537" spans="26:28">
      <c r="Z537" s="7" t="s">
        <v>454</v>
      </c>
      <c r="AA537" s="6">
        <v>0.75</v>
      </c>
      <c r="AB537" s="6">
        <v>120</v>
      </c>
    </row>
    <row r="538" spans="26:28">
      <c r="Z538" s="7" t="s">
        <v>455</v>
      </c>
      <c r="AA538" s="6">
        <v>0.8</v>
      </c>
      <c r="AB538" s="6">
        <v>120</v>
      </c>
    </row>
    <row r="539" spans="26:28">
      <c r="Z539" s="7" t="s">
        <v>456</v>
      </c>
      <c r="AA539" s="6">
        <v>0.85</v>
      </c>
      <c r="AB539" s="6">
        <v>120</v>
      </c>
    </row>
    <row r="540" spans="26:28">
      <c r="Z540" s="7" t="s">
        <v>457</v>
      </c>
      <c r="AA540" s="6">
        <v>0.38800000000000001</v>
      </c>
      <c r="AB540" s="6">
        <v>120</v>
      </c>
    </row>
    <row r="541" spans="26:28">
      <c r="Z541" s="7" t="s">
        <v>458</v>
      </c>
      <c r="AA541" s="6">
        <v>0.42599999999999999</v>
      </c>
      <c r="AB541" s="6">
        <v>120</v>
      </c>
    </row>
    <row r="542" spans="26:28">
      <c r="Z542" s="7" t="s">
        <v>459</v>
      </c>
      <c r="AA542" s="6">
        <v>0.48199999999999998</v>
      </c>
      <c r="AB542" s="6">
        <v>120</v>
      </c>
    </row>
    <row r="543" spans="26:28">
      <c r="Z543" s="7" t="s">
        <v>460</v>
      </c>
      <c r="AA543" s="6">
        <v>0.54700000000000004</v>
      </c>
      <c r="AB543" s="6">
        <v>120</v>
      </c>
    </row>
    <row r="544" spans="26:28">
      <c r="Z544" s="7" t="s">
        <v>461</v>
      </c>
      <c r="AA544" s="6">
        <v>0.6</v>
      </c>
      <c r="AB544" s="6">
        <v>120</v>
      </c>
    </row>
    <row r="545" spans="26:28">
      <c r="Z545" s="7" t="s">
        <v>462</v>
      </c>
      <c r="AA545" s="6">
        <v>0.53700000000000003</v>
      </c>
      <c r="AB545" s="6">
        <v>120</v>
      </c>
    </row>
    <row r="546" spans="26:28">
      <c r="Z546" s="7" t="s">
        <v>463</v>
      </c>
      <c r="AA546" s="6">
        <v>0.67700000000000005</v>
      </c>
      <c r="AB546" s="6">
        <v>120</v>
      </c>
    </row>
    <row r="547" spans="26:28">
      <c r="Z547" s="7" t="s">
        <v>464</v>
      </c>
      <c r="AA547" s="6">
        <v>0.64800000000000002</v>
      </c>
      <c r="AB547" s="6">
        <v>120</v>
      </c>
    </row>
    <row r="548" spans="26:28">
      <c r="Z548" s="7" t="s">
        <v>465</v>
      </c>
      <c r="AA548" s="6">
        <v>0.77200000000000002</v>
      </c>
      <c r="AB548" s="6">
        <v>120</v>
      </c>
    </row>
    <row r="549" spans="26:28">
      <c r="Z549" s="7" t="s">
        <v>466</v>
      </c>
      <c r="AA549" s="6">
        <v>0.77800000000000002</v>
      </c>
      <c r="AB549" s="6">
        <v>120</v>
      </c>
    </row>
    <row r="550" spans="26:28">
      <c r="Z550" s="7" t="s">
        <v>467</v>
      </c>
      <c r="AA550" s="6">
        <v>0.75900000000000001</v>
      </c>
      <c r="AB550" s="6">
        <v>120</v>
      </c>
    </row>
    <row r="551" spans="26:28">
      <c r="Z551" s="9" t="s">
        <v>679</v>
      </c>
      <c r="AA551" s="6"/>
      <c r="AB551" s="6"/>
    </row>
    <row r="552" spans="26:28">
      <c r="Z552" s="7" t="s">
        <v>468</v>
      </c>
      <c r="AA552" s="6">
        <v>0.08</v>
      </c>
      <c r="AB552" s="6">
        <v>35</v>
      </c>
    </row>
    <row r="553" spans="26:28">
      <c r="Z553" s="7" t="s">
        <v>469</v>
      </c>
      <c r="AA553" s="6">
        <v>0.09</v>
      </c>
      <c r="AB553" s="6">
        <v>35</v>
      </c>
    </row>
    <row r="554" spans="26:28">
      <c r="Z554" s="7" t="s">
        <v>470</v>
      </c>
      <c r="AA554" s="6">
        <v>0.11700000000000001</v>
      </c>
      <c r="AB554" s="6">
        <v>35</v>
      </c>
    </row>
    <row r="555" spans="26:28">
      <c r="Z555" s="7" t="s">
        <v>471</v>
      </c>
      <c r="AA555" s="6">
        <v>0.25</v>
      </c>
      <c r="AB555" s="6">
        <v>35</v>
      </c>
    </row>
    <row r="556" spans="26:28">
      <c r="Z556" s="7" t="s">
        <v>472</v>
      </c>
      <c r="AA556" s="6">
        <v>0.314</v>
      </c>
      <c r="AB556" s="6">
        <v>35</v>
      </c>
    </row>
    <row r="557" spans="26:28">
      <c r="Z557" s="7" t="s">
        <v>473</v>
      </c>
      <c r="AA557" s="6">
        <v>0.35</v>
      </c>
      <c r="AB557" s="6">
        <v>35</v>
      </c>
    </row>
    <row r="558" spans="26:28">
      <c r="Z558" s="7" t="s">
        <v>474</v>
      </c>
      <c r="AA558" s="6">
        <v>0.371</v>
      </c>
      <c r="AB558" s="6">
        <v>35</v>
      </c>
    </row>
    <row r="559" spans="26:28">
      <c r="Z559" s="7" t="s">
        <v>475</v>
      </c>
      <c r="AA559" s="6">
        <v>0.217</v>
      </c>
      <c r="AB559" s="6">
        <v>35</v>
      </c>
    </row>
    <row r="560" spans="26:28">
      <c r="Z560" s="7" t="s">
        <v>476</v>
      </c>
      <c r="AA560" s="6">
        <v>0.215</v>
      </c>
      <c r="AB560" s="6">
        <v>35</v>
      </c>
    </row>
    <row r="561" spans="26:28">
      <c r="Z561" s="7" t="s">
        <v>477</v>
      </c>
      <c r="AA561" s="6">
        <v>0.315</v>
      </c>
      <c r="AB561" s="6">
        <v>35</v>
      </c>
    </row>
    <row r="562" spans="26:28">
      <c r="Z562" s="7" t="s">
        <v>478</v>
      </c>
      <c r="AA562" s="6">
        <v>0.41499999999999998</v>
      </c>
      <c r="AB562" s="6">
        <v>35</v>
      </c>
    </row>
    <row r="563" spans="26:28">
      <c r="Z563" s="7" t="s">
        <v>479</v>
      </c>
      <c r="AA563" s="6">
        <v>0.51500000000000001</v>
      </c>
      <c r="AB563" s="6">
        <v>35</v>
      </c>
    </row>
    <row r="564" spans="26:28">
      <c r="Z564" s="7" t="s">
        <v>480</v>
      </c>
      <c r="AA564" s="6">
        <v>0.61499999999999999</v>
      </c>
      <c r="AB564" s="6">
        <v>35</v>
      </c>
    </row>
    <row r="565" spans="26:28">
      <c r="Z565" s="7" t="s">
        <v>481</v>
      </c>
      <c r="AA565" s="6">
        <v>0.71499999999999997</v>
      </c>
      <c r="AB565" s="6">
        <v>35</v>
      </c>
    </row>
    <row r="566" spans="26:28">
      <c r="Z566" s="9" t="s">
        <v>680</v>
      </c>
      <c r="AA566" s="6"/>
      <c r="AB566" s="6"/>
    </row>
    <row r="567" spans="26:28">
      <c r="Z567" s="7" t="s">
        <v>482</v>
      </c>
      <c r="AA567" s="6">
        <v>0.28699999999999998</v>
      </c>
      <c r="AB567" s="6">
        <v>120</v>
      </c>
    </row>
    <row r="568" spans="26:28">
      <c r="Z568" s="7" t="s">
        <v>483</v>
      </c>
      <c r="AA568" s="6">
        <v>0.254</v>
      </c>
      <c r="AB568" s="6">
        <v>120</v>
      </c>
    </row>
    <row r="569" spans="26:28">
      <c r="Z569" s="7" t="s">
        <v>484</v>
      </c>
      <c r="AA569" s="6">
        <v>0.313</v>
      </c>
      <c r="AB569" s="6">
        <v>120</v>
      </c>
    </row>
    <row r="570" spans="26:28">
      <c r="Z570" s="7" t="s">
        <v>485</v>
      </c>
      <c r="AA570" s="6">
        <v>0.30599999999999999</v>
      </c>
      <c r="AB570" s="6">
        <v>120</v>
      </c>
    </row>
    <row r="571" spans="26:28">
      <c r="Z571" s="7" t="s">
        <v>486</v>
      </c>
      <c r="AA571" s="6">
        <v>0.39800000000000002</v>
      </c>
      <c r="AB571" s="6">
        <v>120</v>
      </c>
    </row>
    <row r="572" spans="26:28">
      <c r="Z572" s="7" t="s">
        <v>487</v>
      </c>
      <c r="AA572" s="6">
        <v>0.40100000000000002</v>
      </c>
      <c r="AB572" s="6">
        <v>120</v>
      </c>
    </row>
    <row r="573" spans="26:28">
      <c r="Z573" s="7" t="s">
        <v>488</v>
      </c>
      <c r="AA573" s="6">
        <v>0.38700000000000001</v>
      </c>
      <c r="AB573" s="6">
        <v>120</v>
      </c>
    </row>
    <row r="574" spans="26:28">
      <c r="Z574" s="7" t="s">
        <v>489</v>
      </c>
      <c r="AA574" s="6">
        <v>0.503</v>
      </c>
      <c r="AB574" s="6">
        <v>120</v>
      </c>
    </row>
    <row r="575" spans="26:28">
      <c r="Z575" s="7" t="s">
        <v>490</v>
      </c>
      <c r="AA575" s="6">
        <v>0.49199999999999999</v>
      </c>
      <c r="AB575" s="6">
        <v>120</v>
      </c>
    </row>
    <row r="576" spans="26:28">
      <c r="Z576" s="7" t="s">
        <v>491</v>
      </c>
      <c r="AA576" s="6">
        <v>0.57799999999999996</v>
      </c>
      <c r="AB576" s="6">
        <v>120</v>
      </c>
    </row>
    <row r="577" spans="26:28">
      <c r="Z577" s="7" t="s">
        <v>492</v>
      </c>
      <c r="AA577" s="6">
        <v>0.58699999999999997</v>
      </c>
      <c r="AB577" s="6">
        <v>120</v>
      </c>
    </row>
    <row r="578" spans="26:28">
      <c r="Z578" s="7" t="s">
        <v>493</v>
      </c>
      <c r="AA578" s="6">
        <v>0.57799999999999996</v>
      </c>
      <c r="AB578" s="6">
        <v>120</v>
      </c>
    </row>
    <row r="579" spans="26:28">
      <c r="Z579" s="7" t="s">
        <v>494</v>
      </c>
      <c r="AA579" s="6">
        <v>0.70199999999999996</v>
      </c>
      <c r="AB579" s="6">
        <v>120</v>
      </c>
    </row>
    <row r="580" spans="26:28">
      <c r="Z580" s="7" t="s">
        <v>495</v>
      </c>
      <c r="AA580" s="6">
        <v>0.8</v>
      </c>
      <c r="AB580" s="6">
        <v>120</v>
      </c>
    </row>
    <row r="581" spans="26:28">
      <c r="Z581" s="7" t="s">
        <v>496</v>
      </c>
      <c r="AA581" s="6">
        <v>0.32500000000000001</v>
      </c>
      <c r="AB581" s="6">
        <v>120</v>
      </c>
    </row>
    <row r="582" spans="26:28">
      <c r="Z582" s="7" t="s">
        <v>497</v>
      </c>
      <c r="AA582" s="6">
        <v>0.371</v>
      </c>
      <c r="AB582" s="6">
        <v>120</v>
      </c>
    </row>
    <row r="583" spans="26:28">
      <c r="Z583" s="7" t="s">
        <v>498</v>
      </c>
      <c r="AA583" s="6">
        <v>0.378</v>
      </c>
      <c r="AB583" s="6">
        <v>120</v>
      </c>
    </row>
    <row r="584" spans="26:28">
      <c r="Z584" s="7" t="s">
        <v>499</v>
      </c>
      <c r="AA584" s="6">
        <v>0.48199999999999998</v>
      </c>
      <c r="AB584" s="6">
        <v>120</v>
      </c>
    </row>
    <row r="585" spans="26:28">
      <c r="Z585" s="7" t="s">
        <v>500</v>
      </c>
      <c r="AA585" s="6">
        <v>0.5</v>
      </c>
      <c r="AB585" s="6">
        <v>120</v>
      </c>
    </row>
    <row r="586" spans="26:28">
      <c r="Z586" s="7" t="s">
        <v>501</v>
      </c>
      <c r="AA586" s="6">
        <v>0.47699999999999998</v>
      </c>
      <c r="AB586" s="6">
        <v>120</v>
      </c>
    </row>
    <row r="587" spans="26:28">
      <c r="Z587" s="7" t="s">
        <v>502</v>
      </c>
      <c r="AA587" s="6">
        <v>0.59</v>
      </c>
      <c r="AB587" s="6">
        <v>120</v>
      </c>
    </row>
    <row r="588" spans="26:28">
      <c r="Z588" s="7" t="s">
        <v>503</v>
      </c>
      <c r="AA588" s="6">
        <v>0.58299999999999996</v>
      </c>
      <c r="AB588" s="6">
        <v>120</v>
      </c>
    </row>
    <row r="589" spans="26:28">
      <c r="Z589" s="7" t="s">
        <v>504</v>
      </c>
      <c r="AA589" s="6">
        <v>0.62</v>
      </c>
      <c r="AB589" s="6">
        <v>120</v>
      </c>
    </row>
    <row r="590" spans="26:28">
      <c r="Z590" s="7" t="s">
        <v>505</v>
      </c>
      <c r="AA590" s="6">
        <v>0.65</v>
      </c>
      <c r="AB590" s="6">
        <v>120</v>
      </c>
    </row>
    <row r="591" spans="26:28">
      <c r="Z591" s="7" t="s">
        <v>506</v>
      </c>
      <c r="AA591" s="6">
        <v>0.67</v>
      </c>
      <c r="AB591" s="6">
        <v>120</v>
      </c>
    </row>
    <row r="592" spans="26:28">
      <c r="Z592" s="7" t="s">
        <v>507</v>
      </c>
      <c r="AA592" s="6">
        <v>0.69</v>
      </c>
      <c r="AB592" s="6">
        <v>120</v>
      </c>
    </row>
    <row r="593" spans="26:28">
      <c r="Z593" s="7" t="s">
        <v>508</v>
      </c>
      <c r="AA593" s="6">
        <v>0.72</v>
      </c>
      <c r="AB593" s="6">
        <v>120</v>
      </c>
    </row>
    <row r="594" spans="26:28">
      <c r="Z594" s="7" t="s">
        <v>509</v>
      </c>
      <c r="AA594" s="6">
        <v>0.38800000000000001</v>
      </c>
      <c r="AB594" s="6">
        <v>120</v>
      </c>
    </row>
    <row r="595" spans="26:28">
      <c r="Z595" s="7" t="s">
        <v>510</v>
      </c>
      <c r="AA595" s="6">
        <v>0.42599999999999999</v>
      </c>
      <c r="AB595" s="6">
        <v>120</v>
      </c>
    </row>
    <row r="596" spans="26:28">
      <c r="Z596" s="7" t="s">
        <v>511</v>
      </c>
      <c r="AA596" s="6">
        <v>0.48199999999999998</v>
      </c>
      <c r="AB596" s="6">
        <v>120</v>
      </c>
    </row>
    <row r="597" spans="26:28">
      <c r="Z597" s="7" t="s">
        <v>512</v>
      </c>
      <c r="AA597" s="6">
        <v>0.54700000000000004</v>
      </c>
      <c r="AB597" s="6">
        <v>120</v>
      </c>
    </row>
    <row r="598" spans="26:28">
      <c r="Z598" s="7" t="s">
        <v>513</v>
      </c>
      <c r="AA598" s="6">
        <v>0.56699999999999995</v>
      </c>
      <c r="AB598" s="6">
        <v>120</v>
      </c>
    </row>
    <row r="599" spans="26:28">
      <c r="Z599" s="7" t="s">
        <v>514</v>
      </c>
      <c r="AA599" s="6">
        <v>0.53700000000000003</v>
      </c>
      <c r="AB599" s="6">
        <v>120</v>
      </c>
    </row>
    <row r="600" spans="26:28">
      <c r="Z600" s="7" t="s">
        <v>515</v>
      </c>
      <c r="AA600" s="6">
        <v>0.67700000000000005</v>
      </c>
      <c r="AB600" s="6">
        <v>120</v>
      </c>
    </row>
    <row r="601" spans="26:28">
      <c r="Z601" s="7" t="s">
        <v>516</v>
      </c>
      <c r="AA601" s="6">
        <v>0.64800000000000002</v>
      </c>
      <c r="AB601" s="6">
        <v>120</v>
      </c>
    </row>
    <row r="602" spans="26:28">
      <c r="Z602" s="7" t="s">
        <v>517</v>
      </c>
      <c r="AA602" s="6">
        <v>0.77200000000000002</v>
      </c>
      <c r="AB602" s="6">
        <v>120</v>
      </c>
    </row>
    <row r="603" spans="26:28">
      <c r="Z603" s="7" t="s">
        <v>518</v>
      </c>
      <c r="AA603" s="6">
        <v>0.77800000000000002</v>
      </c>
      <c r="AB603" s="6">
        <v>120</v>
      </c>
    </row>
    <row r="604" spans="26:28">
      <c r="Z604" s="7" t="s">
        <v>519</v>
      </c>
      <c r="AA604" s="6">
        <v>0.75900000000000001</v>
      </c>
      <c r="AB604" s="6">
        <v>120</v>
      </c>
    </row>
    <row r="605" spans="26:28">
      <c r="Z605" s="9" t="s">
        <v>681</v>
      </c>
      <c r="AA605" s="6"/>
      <c r="AB605" s="6"/>
    </row>
    <row r="606" spans="26:28">
      <c r="Z606" s="7" t="s">
        <v>520</v>
      </c>
      <c r="AA606" s="6">
        <v>0.08</v>
      </c>
      <c r="AB606" s="6">
        <v>35</v>
      </c>
    </row>
    <row r="607" spans="26:28">
      <c r="Z607" s="7" t="s">
        <v>521</v>
      </c>
      <c r="AA607" s="6">
        <v>0.09</v>
      </c>
      <c r="AB607" s="6">
        <v>35</v>
      </c>
    </row>
    <row r="608" spans="26:28">
      <c r="Z608" s="7" t="s">
        <v>522</v>
      </c>
      <c r="AA608" s="6">
        <v>0.11700000000000001</v>
      </c>
      <c r="AB608" s="6">
        <v>35</v>
      </c>
    </row>
    <row r="609" spans="26:29">
      <c r="Z609" s="7" t="s">
        <v>523</v>
      </c>
      <c r="AA609" s="6">
        <v>0.25</v>
      </c>
      <c r="AB609" s="6">
        <v>35</v>
      </c>
    </row>
    <row r="610" spans="26:29">
      <c r="Z610" s="7" t="s">
        <v>524</v>
      </c>
      <c r="AA610" s="6">
        <v>0.314</v>
      </c>
      <c r="AB610" s="6">
        <v>35</v>
      </c>
    </row>
    <row r="611" spans="26:29">
      <c r="Z611" s="7" t="s">
        <v>525</v>
      </c>
      <c r="AA611" s="6">
        <v>0.35</v>
      </c>
      <c r="AB611" s="6">
        <v>35</v>
      </c>
    </row>
    <row r="612" spans="26:29">
      <c r="Z612" s="7" t="s">
        <v>526</v>
      </c>
      <c r="AA612" s="6">
        <v>0.371</v>
      </c>
      <c r="AB612" s="6">
        <v>35</v>
      </c>
    </row>
    <row r="613" spans="26:29">
      <c r="Z613" s="7" t="s">
        <v>527</v>
      </c>
      <c r="AA613" s="6">
        <v>0.217</v>
      </c>
      <c r="AB613" s="6">
        <v>35</v>
      </c>
    </row>
    <row r="614" spans="26:29">
      <c r="Z614" s="7" t="s">
        <v>528</v>
      </c>
      <c r="AA614" s="6">
        <v>0.215</v>
      </c>
      <c r="AB614" s="6">
        <v>35</v>
      </c>
    </row>
    <row r="615" spans="26:29">
      <c r="Z615" s="7" t="s">
        <v>529</v>
      </c>
      <c r="AA615" s="6">
        <v>0.315</v>
      </c>
      <c r="AB615" s="6">
        <v>35</v>
      </c>
    </row>
    <row r="616" spans="26:29">
      <c r="Z616" s="7" t="s">
        <v>530</v>
      </c>
      <c r="AA616" s="6">
        <v>0.41499999999999998</v>
      </c>
      <c r="AB616" s="6">
        <v>35</v>
      </c>
    </row>
    <row r="617" spans="26:29">
      <c r="Z617" s="7" t="s">
        <v>531</v>
      </c>
      <c r="AA617" s="6">
        <v>0.51500000000000001</v>
      </c>
      <c r="AB617" s="6">
        <v>35</v>
      </c>
    </row>
    <row r="618" spans="26:29">
      <c r="Z618" s="7" t="s">
        <v>532</v>
      </c>
      <c r="AA618" s="6">
        <v>0.61499999999999999</v>
      </c>
      <c r="AB618" s="6">
        <v>35</v>
      </c>
    </row>
    <row r="619" spans="26:29">
      <c r="Z619" s="7" t="s">
        <v>533</v>
      </c>
      <c r="AA619" s="6">
        <v>0.71499999999999997</v>
      </c>
      <c r="AB619" s="6">
        <v>35</v>
      </c>
    </row>
    <row r="620" spans="26:29">
      <c r="Z620" s="9" t="s">
        <v>682</v>
      </c>
      <c r="AA620" s="6"/>
      <c r="AB620" s="6"/>
      <c r="AC620" s="6" t="s">
        <v>1046</v>
      </c>
    </row>
    <row r="621" spans="26:29">
      <c r="Z621" s="7" t="s">
        <v>709</v>
      </c>
      <c r="AA621" s="6"/>
      <c r="AB621" s="6"/>
      <c r="AC621" s="6">
        <v>54</v>
      </c>
    </row>
    <row r="622" spans="26:29">
      <c r="Z622" s="7" t="s">
        <v>534</v>
      </c>
      <c r="AA622" s="6"/>
      <c r="AB622" s="6"/>
      <c r="AC622" s="6">
        <v>69</v>
      </c>
    </row>
    <row r="623" spans="26:29">
      <c r="Z623" s="7" t="s">
        <v>692</v>
      </c>
      <c r="AA623" s="6"/>
      <c r="AB623" s="6"/>
      <c r="AC623" s="6">
        <v>79</v>
      </c>
    </row>
    <row r="624" spans="26:29">
      <c r="Z624" s="7" t="s">
        <v>693</v>
      </c>
      <c r="AA624" s="6"/>
      <c r="AB624" s="6"/>
      <c r="AC624" s="6">
        <v>85</v>
      </c>
    </row>
    <row r="625" spans="26:29">
      <c r="Z625" s="7" t="s">
        <v>535</v>
      </c>
      <c r="AA625" s="6"/>
      <c r="AB625" s="6"/>
      <c r="AC625" s="6">
        <v>99</v>
      </c>
    </row>
    <row r="626" spans="26:29">
      <c r="Z626" s="7" t="s">
        <v>536</v>
      </c>
      <c r="AA626" s="6"/>
      <c r="AB626" s="6"/>
      <c r="AC626" s="6">
        <v>119</v>
      </c>
    </row>
    <row r="627" spans="26:29">
      <c r="Z627" s="7" t="s">
        <v>694</v>
      </c>
      <c r="AA627" s="6"/>
      <c r="AB627" s="6"/>
      <c r="AC627" s="6">
        <v>169</v>
      </c>
    </row>
    <row r="628" spans="26:29">
      <c r="Z628" s="7" t="s">
        <v>695</v>
      </c>
      <c r="AA628" s="6"/>
      <c r="AB628" s="6"/>
      <c r="AC628" s="6">
        <v>219</v>
      </c>
    </row>
    <row r="629" spans="26:29">
      <c r="Z629" s="9" t="s">
        <v>716</v>
      </c>
      <c r="AA629" s="6"/>
      <c r="AB629" s="6"/>
    </row>
    <row r="630" spans="26:29">
      <c r="Z630" s="10" t="s">
        <v>696</v>
      </c>
      <c r="AA630" s="6">
        <v>3.5000000000000003E-2</v>
      </c>
      <c r="AB630" s="6">
        <v>35</v>
      </c>
    </row>
    <row r="631" spans="26:29">
      <c r="Z631" s="10" t="s">
        <v>537</v>
      </c>
      <c r="AA631" s="6">
        <v>3.5999999999999997E-2</v>
      </c>
      <c r="AB631" s="6">
        <v>35</v>
      </c>
    </row>
    <row r="632" spans="26:29">
      <c r="Z632" s="10" t="s">
        <v>699</v>
      </c>
      <c r="AA632" s="6">
        <v>3.5999999999999997E-2</v>
      </c>
      <c r="AB632" s="6">
        <v>35</v>
      </c>
    </row>
    <row r="633" spans="26:29">
      <c r="Z633" s="10" t="s">
        <v>700</v>
      </c>
      <c r="AA633" s="6">
        <v>0.03</v>
      </c>
      <c r="AB633" s="6">
        <v>35</v>
      </c>
    </row>
    <row r="634" spans="26:29">
      <c r="Z634" s="10" t="s">
        <v>538</v>
      </c>
      <c r="AA634" s="6">
        <v>4.9000000000000002E-2</v>
      </c>
      <c r="AB634" s="6">
        <v>35</v>
      </c>
    </row>
    <row r="635" spans="26:29">
      <c r="Z635" s="10" t="s">
        <v>697</v>
      </c>
      <c r="AA635" s="6">
        <v>5.8999999999999997E-2</v>
      </c>
      <c r="AB635" s="6">
        <v>35</v>
      </c>
    </row>
    <row r="636" spans="26:29">
      <c r="Z636" s="10" t="s">
        <v>698</v>
      </c>
      <c r="AA636" s="6">
        <v>6.5000000000000002E-2</v>
      </c>
      <c r="AB636" s="6">
        <v>35</v>
      </c>
    </row>
    <row r="637" spans="26:29">
      <c r="Z637" s="10" t="s">
        <v>539</v>
      </c>
      <c r="AA637" s="6">
        <v>7.8E-2</v>
      </c>
      <c r="AB637" s="6">
        <v>35</v>
      </c>
    </row>
    <row r="638" spans="26:29">
      <c r="Z638" s="10" t="s">
        <v>540</v>
      </c>
      <c r="AA638" s="6">
        <v>9.7000000000000003E-2</v>
      </c>
      <c r="AB638" s="6">
        <v>35</v>
      </c>
    </row>
    <row r="639" spans="26:29">
      <c r="Z639" s="10" t="s">
        <v>541</v>
      </c>
      <c r="AA639" s="6">
        <v>6.0999999999999999E-2</v>
      </c>
      <c r="AB639" s="6">
        <v>35</v>
      </c>
    </row>
    <row r="640" spans="26:29">
      <c r="Z640" s="10" t="s">
        <v>542</v>
      </c>
      <c r="AA640" s="6">
        <v>9.8000000000000004E-2</v>
      </c>
      <c r="AB640" s="6">
        <v>35</v>
      </c>
    </row>
    <row r="641" spans="26:28">
      <c r="Z641" s="10" t="s">
        <v>543</v>
      </c>
      <c r="AA641" s="6">
        <v>0.123</v>
      </c>
      <c r="AB641" s="6">
        <v>35</v>
      </c>
    </row>
    <row r="642" spans="26:28">
      <c r="Z642" s="10" t="s">
        <v>544</v>
      </c>
      <c r="AA642" s="6">
        <v>0.184</v>
      </c>
      <c r="AB642" s="6">
        <v>35</v>
      </c>
    </row>
    <row r="643" spans="26:28">
      <c r="Z643" s="10" t="s">
        <v>545</v>
      </c>
      <c r="AA643" s="6">
        <v>7.3999999999999996E-2</v>
      </c>
      <c r="AB643" s="6">
        <v>35</v>
      </c>
    </row>
    <row r="644" spans="26:28">
      <c r="Z644" s="10" t="s">
        <v>701</v>
      </c>
      <c r="AA644" s="6">
        <v>8.8999999999999996E-2</v>
      </c>
      <c r="AB644" s="6">
        <v>35</v>
      </c>
    </row>
    <row r="645" spans="26:28">
      <c r="Z645" s="10" t="s">
        <v>702</v>
      </c>
      <c r="AA645" s="6">
        <v>9.9000000000000005E-2</v>
      </c>
      <c r="AB645" s="6">
        <v>35</v>
      </c>
    </row>
    <row r="646" spans="26:28">
      <c r="Z646" s="10" t="s">
        <v>546</v>
      </c>
      <c r="AA646" s="6">
        <v>0.11899999999999999</v>
      </c>
      <c r="AB646" s="6">
        <v>35</v>
      </c>
    </row>
    <row r="647" spans="26:28">
      <c r="Z647" s="10" t="s">
        <v>547</v>
      </c>
      <c r="AA647" s="6">
        <v>0.14799999999999999</v>
      </c>
      <c r="AB647" s="6">
        <v>35</v>
      </c>
    </row>
    <row r="648" spans="26:28">
      <c r="Z648" s="10" t="s">
        <v>548</v>
      </c>
      <c r="AA648" s="6">
        <v>0.248</v>
      </c>
      <c r="AB648" s="6">
        <v>35</v>
      </c>
    </row>
    <row r="649" spans="26:28">
      <c r="Z649" s="10" t="s">
        <v>549</v>
      </c>
      <c r="AA649" s="6">
        <v>0.29699999999999999</v>
      </c>
      <c r="AB649" s="6">
        <v>35</v>
      </c>
    </row>
    <row r="650" spans="26:28">
      <c r="Z650" s="10" t="s">
        <v>550</v>
      </c>
      <c r="AA650" s="6">
        <v>0.3</v>
      </c>
      <c r="AB650" s="6">
        <v>35</v>
      </c>
    </row>
    <row r="651" spans="26:28">
      <c r="Z651" s="10" t="s">
        <v>551</v>
      </c>
      <c r="AA651" s="6">
        <v>0.33</v>
      </c>
      <c r="AB651" s="6">
        <v>35</v>
      </c>
    </row>
    <row r="652" spans="26:28">
      <c r="Z652" s="10" t="s">
        <v>552</v>
      </c>
      <c r="AA652" s="6">
        <v>0.35</v>
      </c>
      <c r="AB652" s="6">
        <v>35</v>
      </c>
    </row>
    <row r="653" spans="26:28">
      <c r="Z653" s="10" t="s">
        <v>553</v>
      </c>
      <c r="AA653" s="6">
        <v>0.4</v>
      </c>
      <c r="AB653" s="6">
        <v>35</v>
      </c>
    </row>
    <row r="654" spans="26:28">
      <c r="Z654" s="10" t="s">
        <v>554</v>
      </c>
      <c r="AA654" s="6">
        <v>0.5</v>
      </c>
      <c r="AB654" s="6">
        <v>35</v>
      </c>
    </row>
    <row r="655" spans="26:28">
      <c r="Z655" s="10" t="s">
        <v>555</v>
      </c>
      <c r="AA655" s="6">
        <v>0.1</v>
      </c>
      <c r="AB655" s="6">
        <v>35</v>
      </c>
    </row>
    <row r="656" spans="26:28">
      <c r="Z656" s="10" t="s">
        <v>703</v>
      </c>
      <c r="AA656" s="6">
        <v>0.12</v>
      </c>
      <c r="AB656" s="6">
        <v>35</v>
      </c>
    </row>
    <row r="657" spans="26:28">
      <c r="Z657" s="10" t="s">
        <v>704</v>
      </c>
      <c r="AA657" s="6">
        <v>0.15</v>
      </c>
      <c r="AB657" s="6">
        <v>35</v>
      </c>
    </row>
    <row r="658" spans="26:28">
      <c r="Z658" s="10" t="s">
        <v>556</v>
      </c>
      <c r="AA658" s="6">
        <v>0.16</v>
      </c>
      <c r="AB658" s="6">
        <v>35</v>
      </c>
    </row>
    <row r="659" spans="26:28">
      <c r="Z659" s="10" t="s">
        <v>557</v>
      </c>
      <c r="AA659" s="6">
        <v>0.2</v>
      </c>
      <c r="AB659" s="6">
        <v>35</v>
      </c>
    </row>
    <row r="660" spans="26:28">
      <c r="Z660" s="10" t="s">
        <v>558</v>
      </c>
      <c r="AA660" s="6">
        <v>0.25</v>
      </c>
      <c r="AB660" s="6">
        <v>35</v>
      </c>
    </row>
    <row r="661" spans="26:28">
      <c r="Z661" s="10" t="s">
        <v>559</v>
      </c>
      <c r="AA661" s="6">
        <v>0.3</v>
      </c>
      <c r="AB661" s="6">
        <v>35</v>
      </c>
    </row>
    <row r="662" spans="26:28">
      <c r="Z662" s="10" t="s">
        <v>560</v>
      </c>
      <c r="AA662" s="6">
        <v>0.125</v>
      </c>
      <c r="AB662" s="6">
        <v>35</v>
      </c>
    </row>
    <row r="663" spans="26:28">
      <c r="Z663" s="10" t="s">
        <v>705</v>
      </c>
      <c r="AA663" s="6">
        <v>0.15</v>
      </c>
      <c r="AB663" s="6">
        <v>35</v>
      </c>
    </row>
    <row r="664" spans="26:28">
      <c r="Z664" s="10" t="s">
        <v>706</v>
      </c>
      <c r="AA664" s="6">
        <v>0.2</v>
      </c>
      <c r="AB664" s="6">
        <v>35</v>
      </c>
    </row>
    <row r="665" spans="26:28">
      <c r="Z665" s="10" t="s">
        <v>561</v>
      </c>
      <c r="AA665" s="6">
        <v>0.2</v>
      </c>
      <c r="AB665" s="6">
        <v>35</v>
      </c>
    </row>
    <row r="666" spans="26:28">
      <c r="Z666" s="10" t="s">
        <v>562</v>
      </c>
      <c r="AA666" s="6">
        <v>0.251</v>
      </c>
      <c r="AB666" s="6">
        <v>35</v>
      </c>
    </row>
    <row r="667" spans="26:28">
      <c r="Z667" s="10" t="s">
        <v>563</v>
      </c>
      <c r="AA667" s="6">
        <v>0.251</v>
      </c>
      <c r="AB667" s="6">
        <v>35</v>
      </c>
    </row>
    <row r="668" spans="26:28">
      <c r="Z668" s="10" t="s">
        <v>564</v>
      </c>
      <c r="AA668" s="6">
        <v>0.501</v>
      </c>
      <c r="AB668" s="6">
        <v>35</v>
      </c>
    </row>
    <row r="669" spans="26:28">
      <c r="Z669" s="10" t="s">
        <v>565</v>
      </c>
      <c r="AA669" s="6">
        <v>0.151</v>
      </c>
      <c r="AB669" s="6">
        <v>35</v>
      </c>
    </row>
    <row r="670" spans="26:28">
      <c r="Z670" s="10" t="s">
        <v>707</v>
      </c>
      <c r="AA670" s="6">
        <v>0.18099999999999999</v>
      </c>
      <c r="AB670" s="6">
        <v>35</v>
      </c>
    </row>
    <row r="671" spans="26:28">
      <c r="Z671" s="10" t="s">
        <v>708</v>
      </c>
      <c r="AA671" s="6">
        <v>0.22</v>
      </c>
      <c r="AB671" s="6">
        <v>35</v>
      </c>
    </row>
    <row r="672" spans="26:28">
      <c r="Z672" s="10" t="s">
        <v>566</v>
      </c>
      <c r="AA672" s="6">
        <v>0.24099999999999999</v>
      </c>
      <c r="AB672" s="6">
        <v>35</v>
      </c>
    </row>
    <row r="673" spans="26:28">
      <c r="Z673" s="10" t="s">
        <v>567</v>
      </c>
      <c r="AA673" s="6">
        <v>0.30099999999999999</v>
      </c>
      <c r="AB673" s="6">
        <v>35</v>
      </c>
    </row>
    <row r="674" spans="26:28">
      <c r="Z674" s="10" t="s">
        <v>568</v>
      </c>
      <c r="AA674" s="6">
        <v>0.38</v>
      </c>
      <c r="AB674" s="6">
        <v>35</v>
      </c>
    </row>
    <row r="675" spans="26:28">
      <c r="Z675" s="10" t="s">
        <v>569</v>
      </c>
      <c r="AA675" s="6">
        <v>0.42</v>
      </c>
      <c r="AB675" s="6">
        <v>35</v>
      </c>
    </row>
  </sheetData>
  <mergeCells count="4">
    <mergeCell ref="A2:G2"/>
    <mergeCell ref="H2:J2"/>
    <mergeCell ref="K2:P2"/>
    <mergeCell ref="A9:D9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5"/>
  <dimension ref="A1"/>
  <sheetViews>
    <sheetView workbookViewId="0">
      <selection activeCell="Y23" sqref="Y23"/>
    </sheetView>
  </sheetViews>
  <sheetFormatPr defaultRowHeight="14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P59"/>
  <sheetViews>
    <sheetView zoomScale="115" zoomScaleNormal="115" workbookViewId="0">
      <pane xSplit="8" ySplit="2" topLeftCell="I3" activePane="bottomRight" state="frozen"/>
      <selection pane="topRight" activeCell="H1" sqref="H1"/>
      <selection pane="bottomLeft" activeCell="A3" sqref="A3"/>
      <selection pane="bottomRight" activeCell="S18" sqref="S18"/>
    </sheetView>
  </sheetViews>
  <sheetFormatPr defaultRowHeight="14.3"/>
  <cols>
    <col min="1" max="1" width="35" bestFit="1" customWidth="1"/>
    <col min="2" max="2" width="7" bestFit="1" customWidth="1"/>
    <col min="3" max="4" width="5.625" bestFit="1" customWidth="1"/>
    <col min="5" max="5" width="4.375" bestFit="1" customWidth="1"/>
    <col min="6" max="10" width="5.625" bestFit="1" customWidth="1"/>
    <col min="11" max="11" width="5.625" customWidth="1"/>
    <col min="12" max="12" width="6.875" customWidth="1"/>
    <col min="13" max="16" width="5.625" bestFit="1" customWidth="1"/>
    <col min="26" max="26" width="11" customWidth="1"/>
  </cols>
  <sheetData>
    <row r="1" spans="1:16" ht="18.7" customHeight="1">
      <c r="A1" s="116" t="s">
        <v>2</v>
      </c>
      <c r="B1" s="808" t="s">
        <v>1188</v>
      </c>
      <c r="C1" s="809"/>
      <c r="D1" s="809"/>
      <c r="E1" s="809"/>
      <c r="F1" s="809"/>
      <c r="G1" s="809"/>
      <c r="H1" s="810"/>
      <c r="I1" s="811" t="s">
        <v>1189</v>
      </c>
      <c r="J1" s="812"/>
      <c r="K1" s="813"/>
      <c r="L1" s="814" t="s">
        <v>1190</v>
      </c>
      <c r="M1" s="815"/>
      <c r="N1" s="815"/>
      <c r="O1" s="815"/>
      <c r="P1" s="815"/>
    </row>
    <row r="2" spans="1:16" ht="19.05">
      <c r="A2" s="11" t="s">
        <v>10</v>
      </c>
      <c r="B2" s="11">
        <v>0.55000000000000004</v>
      </c>
      <c r="C2" s="11">
        <v>0.7</v>
      </c>
      <c r="D2" s="11">
        <v>0.8</v>
      </c>
      <c r="E2" s="11">
        <v>1</v>
      </c>
      <c r="F2" s="11">
        <v>1.2</v>
      </c>
      <c r="G2" s="11">
        <v>1.5</v>
      </c>
      <c r="H2" s="11">
        <v>2</v>
      </c>
      <c r="I2" s="34">
        <v>1.2</v>
      </c>
      <c r="J2" s="34">
        <v>1.5</v>
      </c>
      <c r="K2" s="34">
        <v>2</v>
      </c>
      <c r="L2" s="36">
        <v>0.55000000000000004</v>
      </c>
      <c r="M2" s="36">
        <v>0.8</v>
      </c>
      <c r="N2" s="36">
        <v>1</v>
      </c>
      <c r="O2" s="36">
        <v>1.2</v>
      </c>
      <c r="P2" s="102">
        <v>1.5</v>
      </c>
    </row>
    <row r="3" spans="1:16">
      <c r="A3" s="10" t="s">
        <v>1055</v>
      </c>
      <c r="B3" s="93">
        <f>('Цены на металл '!$S3+'Цены на металл '!$T3*2+6)/1000*7.85*'Цены на металл '!A$3*1.36*'Цены на металл '!A$4</f>
        <v>43.718220000000002</v>
      </c>
      <c r="C3" s="93">
        <f>('Цены на металл '!$S3+'Цены на металл '!$T3*2+6)/1000*7.85*'Цены на металл '!B$3*1.25*'Цены на металл '!B$4</f>
        <v>52.236843749999998</v>
      </c>
      <c r="D3" s="93">
        <f>('Цены на металл '!$S3+'Цены на металл '!$T3*2+6)/1000*7.85*'Цены на металл '!C$3*1.25*'Цены на металл '!C$4</f>
        <v>60.273281249999997</v>
      </c>
      <c r="E3" s="93">
        <f>('Цены на металл '!$S3+'Цены на металл '!$T3*2+6)/1000*7.85*'Цены на металл '!D$3*1.25*'Цены на металл '!D$4</f>
        <v>72.327937500000004</v>
      </c>
      <c r="F3" s="93">
        <f>('Цены на металл '!$S3+'Цены на металл '!$T3*2+6)/1000*7.85*'Цены на металл '!E$3*1.25*'Цены на металл '!E$4</f>
        <v>88.400812500000015</v>
      </c>
      <c r="G3" s="93">
        <f>('Цены на металл '!$S3+'Цены на металл '!$T3*2+6)/1000*7.85*'Цены на металл '!F$3*1.25*'Цены на металл '!F$4</f>
        <v>112.51012499999999</v>
      </c>
      <c r="H3" s="93">
        <f>('Цены на металл '!$S3+'Цены на металл '!$T3*2+6)/1000*7.85*'Цены на металл '!G$3*1.25*'Цены на металл '!G$4</f>
        <v>157.39053749999999</v>
      </c>
      <c r="I3" s="124">
        <f>('Цены на металл '!$S3+'Цены на металл '!$T3*2+6)/1000*7.85*'Цены на металл '!H$3*('Цены на металл '!H$4*1.3)+('Цены на металл '!H$5*('Цены на металл '!$S3+'Цены на металл '!$T3*2+6)/1000*7.85*'Цены на металл '!H$3)</f>
        <v>128.92918500000002</v>
      </c>
      <c r="J3" s="124">
        <f>('Цены на металл '!$S3+'Цены на металл '!$T3*2+6)/1000*7.85*'Цены на металл '!I$3*('Цены на металл '!I$4*1.3)+('Цены на металл '!I$5*('Цены на металл '!$S3+'Цены на металл '!$T3*2+6)/1000*7.85*'Цены на металл '!I$3)</f>
        <v>164.09168999999997</v>
      </c>
      <c r="K3" s="124">
        <f>('Цены на металл '!$S3+'Цены на металл '!$T3*2+6)/1000*7.85*'Цены на металл '!J$3*('Цены на металл '!J$4*1.3)+('Цены на металл '!J$5*('Цены на металл '!$S3+'Цены на металл '!$T3*2+6)/1000*7.85*'Цены на металл '!J$3)</f>
        <v>239.56002000000001</v>
      </c>
      <c r="L3" s="140">
        <f>('Цены на металл '!$S3+'Цены на металл '!$T3*2+6)/1000*7.85*'Цены на металл '!K$3*1.8*'Цены на металл '!K$4</f>
        <v>235.01016000000001</v>
      </c>
      <c r="M3" s="140">
        <f>('Цены на металл '!$S3+'Цены на металл '!$T3*2+6)/1000*7.85*'Цены на металл '!L$3*1.8*'Цены на металл '!L$4</f>
        <v>341.83296000000001</v>
      </c>
      <c r="N3" s="140">
        <f>('Цены на металл '!$S3+'Цены на металл '!$T3*2+6)/1000*7.85*'Цены на металл '!M$3*1.8*'Цены на металл '!M$4</f>
        <v>427.2912</v>
      </c>
      <c r="O3" s="140">
        <f>('Цены на металл '!$S3+'Цены на металл '!$T3*2+6)/1000*7.85*'Цены на металл '!N$3*1.8*'Цены на металл '!N$4</f>
        <v>512.74943999999994</v>
      </c>
      <c r="P3" s="140">
        <f>('Цены на металл '!$S3+'Цены на металл '!$T3*2+6)/1000*7.85*'Цены на металл '!O$3*1.8*'Цены на металл '!O$4</f>
        <v>640.93680000000006</v>
      </c>
    </row>
    <row r="4" spans="1:16">
      <c r="A4" s="10" t="s">
        <v>1056</v>
      </c>
      <c r="B4" s="93">
        <f>('Цены на металл '!$S4+'Цены на металл '!$T4*2+6)/1000*7.85*'Цены на металл '!A$3*1.36*'Цены на металл '!A$4</f>
        <v>54.127320000000005</v>
      </c>
      <c r="C4" s="93">
        <f>('Цены на металл '!$S4+'Цены на металл '!$T4*2+6)/1000*7.85*'Цены на металл '!B$3*1.25*'Цены на металл '!B$4</f>
        <v>64.674187499999988</v>
      </c>
      <c r="D4" s="93">
        <f>('Цены на металл '!$S4+'Цены на металл '!$T4*2+6)/1000*7.85*'Цены на металл '!C$3*1.25*'Цены на металл '!C$4</f>
        <v>74.624062499999994</v>
      </c>
      <c r="E4" s="93">
        <f>('Цены на металл '!$S4+'Цены на металл '!$T4*2+6)/1000*7.85*'Цены на металл '!D$3*1.25*'Цены на металл '!D$4</f>
        <v>89.548874999999995</v>
      </c>
      <c r="F4" s="93">
        <f>('Цены на металл '!$S4+'Цены на металл '!$T4*2+6)/1000*7.85*'Цены на металл '!E$3*1.25*'Цены на металл '!E$4</f>
        <v>109.44862499999999</v>
      </c>
      <c r="G4" s="93">
        <f>('Цены на металл '!$S4+'Цены на металл '!$T4*2+6)/1000*7.85*'Цены на металл '!F$3*1.25*'Цены на металл '!F$4</f>
        <v>139.29824999999997</v>
      </c>
      <c r="H4" s="93">
        <f>('Цены на металл '!$S4+'Цены на металл '!$T4*2+6)/1000*7.85*'Цены на металл '!G$3*1.25*'Цены на металл '!G$4</f>
        <v>194.86447499999997</v>
      </c>
      <c r="I4" s="124">
        <f>('Цены на металл '!$S4+'Цены на металл '!$T4*2+6)/1000*7.85*'Цены на металл '!H$3*('Цены на металл '!H$4*1.3)+('Цены на металл '!H$5*('Цены на металл '!$S4+'Цены на металл '!$T4*2+6)/1000*7.85*'Цены на металл '!H$3)</f>
        <v>159.62661</v>
      </c>
      <c r="J4" s="124">
        <f>('Цены на металл '!$S4+'Цены на металл '!$T4*2+6)/1000*7.85*'Цены на металл '!I$3*('Цены на металл '!I$4*1.3)+('Цены на металл '!I$5*('Цены на металл '!$S4+'Цены на металл '!$T4*2+6)/1000*7.85*'Цены на металл '!I$3)</f>
        <v>203.16113999999999</v>
      </c>
      <c r="K4" s="124">
        <f>('Цены на металл '!$S4+'Цены на металл '!$T4*2+6)/1000*7.85*'Цены на металл '!J$3*('Цены на металл '!J$4*1.3)+('Цены на металл '!J$5*('Цены на металл '!$S4+'Цены на металл '!$T4*2+6)/1000*7.85*'Цены на металл '!J$3)</f>
        <v>296.59811999999999</v>
      </c>
      <c r="L4" s="140">
        <f>('Цены на металл '!$S4+'Цены на металл '!$T4*2+6)/1000*7.85*'Цены на металл '!K$3*1.8*'Цены на металл '!K$4</f>
        <v>290.96495999999996</v>
      </c>
      <c r="M4" s="140">
        <f>('Цены на металл '!$S4+'Цены на металл '!$T4*2+6)/1000*7.85*'Цены на металл '!L$3*1.8*'Цены на металл '!L$4</f>
        <v>423.22176000000002</v>
      </c>
      <c r="N4" s="140">
        <f>('Цены на металл '!$S4+'Цены на металл '!$T4*2+6)/1000*7.85*'Цены на металл '!M$3*1.8*'Цены на металл '!M$4</f>
        <v>529.02719999999999</v>
      </c>
      <c r="O4" s="140">
        <f>('Цены на металл '!$S4+'Цены на металл '!$T4*2+6)/1000*7.85*'Цены на металл '!N$3*1.8*'Цены на металл '!N$4</f>
        <v>634.83263999999997</v>
      </c>
      <c r="P4" s="140">
        <f>('Цены на металл '!$S4+'Цены на металл '!$T4*2+6)/1000*7.85*'Цены на металл '!O$3*1.8*'Цены на металл '!O$4</f>
        <v>793.54079999999999</v>
      </c>
    </row>
    <row r="5" spans="1:16">
      <c r="A5" s="10" t="s">
        <v>1057</v>
      </c>
      <c r="B5" s="93">
        <f>('Цены на металл '!$S5+'Цены на металл '!$T5*2+6)/1000*7.85*'Цены на металл '!A$3*1.36*'Цены на металл '!A$4</f>
        <v>61.066719999999997</v>
      </c>
      <c r="C5" s="93">
        <f>('Цены на металл '!$S5+'Цены на металл '!$T5*2+6)/1000*7.85*'Цены на металл '!B$3*1.25*'Цены на металл '!B$4</f>
        <v>72.96575</v>
      </c>
      <c r="D5" s="93">
        <f>('Цены на металл '!$S5+'Цены на металл '!$T5*2+6)/1000*7.85*'Цены на металл '!C$3*1.25*'Цены на металл '!C$4</f>
        <v>84.191249999999997</v>
      </c>
      <c r="E5" s="93">
        <f>('Цены на металл '!$S5+'Цены на металл '!$T5*2+6)/1000*7.85*'Цены на металл '!D$3*1.25*'Цены на металл '!D$4</f>
        <v>101.02949999999998</v>
      </c>
      <c r="F5" s="93">
        <f>('Цены на металл '!$S5+'Цены на металл '!$T5*2+6)/1000*7.85*'Цены на металл '!E$3*1.25*'Цены на металл '!E$4</f>
        <v>123.48049999999999</v>
      </c>
      <c r="G5" s="93">
        <f>('Цены на металл '!$S5+'Цены на металл '!$T5*2+6)/1000*7.85*'Цены на металл '!F$3*1.25*'Цены на металл '!F$4</f>
        <v>157.15699999999998</v>
      </c>
      <c r="H5" s="93">
        <f>('Цены на металл '!$S5+'Цены на металл '!$T5*2+6)/1000*7.85*'Цены на металл '!G$3*1.25*'Цены на металл '!G$4</f>
        <v>219.84709999999998</v>
      </c>
      <c r="I5" s="124">
        <f>('Цены на металл '!$S5+'Цены на металл '!$T5*2+6)/1000*7.85*'Цены на металл '!H$3*('Цены на металл '!H$4*1.3)+('Цены на металл '!H$5*('Цены на металл '!$S5+'Цены на металл '!$T5*2+6)/1000*7.85*'Цены на металл '!H$3)</f>
        <v>180.09156000000002</v>
      </c>
      <c r="J5" s="124">
        <f>('Цены на металл '!$S5+'Цены на металл '!$T5*2+6)/1000*7.85*'Цены на металл '!I$3*('Цены на металл '!I$4*1.3)+('Цены на металл '!I$5*('Цены на металл '!$S5+'Цены на металл '!$T5*2+6)/1000*7.85*'Цены на металл '!I$3)</f>
        <v>229.20743999999996</v>
      </c>
      <c r="K5" s="124">
        <f>('Цены на металл '!$S5+'Цены на металл '!$T5*2+6)/1000*7.85*'Цены на металл '!J$3*('Цены на металл '!J$4*1.3)+('Цены на металл '!J$5*('Цены на металл '!$S5+'Цены на металл '!$T5*2+6)/1000*7.85*'Цены на металл '!J$3)</f>
        <v>334.62351999999998</v>
      </c>
      <c r="L5" s="140">
        <f>('Цены на металл '!$S5+'Цены на металл '!$T5*2+6)/1000*7.85*'Цены на металл '!K$3*1.8*'Цены на металл '!K$4</f>
        <v>328.26816000000002</v>
      </c>
      <c r="M5" s="140">
        <f>('Цены на металл '!$S5+'Цены на металл '!$T5*2+6)/1000*7.85*'Цены на металл '!L$3*1.8*'Цены на металл '!L$4</f>
        <v>477.48096000000004</v>
      </c>
      <c r="N5" s="140">
        <f>('Цены на металл '!$S5+'Цены на металл '!$T5*2+6)/1000*7.85*'Цены на металл '!M$3*1.8*'Цены на металл '!M$4</f>
        <v>596.85119999999995</v>
      </c>
      <c r="O5" s="140">
        <f>('Цены на металл '!$S5+'Цены на металл '!$T5*2+6)/1000*7.85*'Цены на металл '!N$3*1.8*'Цены на металл '!N$4</f>
        <v>716.22143999999992</v>
      </c>
      <c r="P5" s="140">
        <f>('Цены на металл '!$S5+'Цены на металл '!$T5*2+6)/1000*7.85*'Цены на металл '!O$3*1.8*'Цены на металл '!O$4</f>
        <v>895.27680000000009</v>
      </c>
    </row>
    <row r="6" spans="1:16">
      <c r="A6" s="6" t="s">
        <v>1058</v>
      </c>
      <c r="B6" s="93">
        <f>('Цены на металл '!$S6+'Цены на металл '!$T6*2+6)/1000*7.85*'Цены на металл '!A$3*1.36*'Цены на металл '!A$4</f>
        <v>50.657620000000001</v>
      </c>
      <c r="C6" s="93">
        <f>('Цены на металл '!$S6+'Цены на металл '!$T6*2+6)/1000*7.85*'Цены на металл '!B$3*1.25*'Цены на металл '!B$4</f>
        <v>60.528406250000003</v>
      </c>
      <c r="D6" s="93">
        <f>('Цены на металл '!$S6+'Цены на металл '!$T6*2+6)/1000*7.85*'Цены на металл '!C$3*1.25*'Цены на металл '!C$4</f>
        <v>69.840468749999985</v>
      </c>
      <c r="E6" s="93">
        <f>('Цены на металл '!$S6+'Цены на металл '!$T6*2+6)/1000*7.85*'Цены на металл '!D$3*1.25*'Цены на металл '!D$4</f>
        <v>83.808562499999994</v>
      </c>
      <c r="F6" s="93">
        <f>('Цены на металл '!$S6+'Цены на металл '!$T6*2+6)/1000*7.85*'Цены на металл '!E$3*1.25*'Цены на металл '!E$4</f>
        <v>102.43268749999999</v>
      </c>
      <c r="G6" s="93">
        <f>('Цены на металл '!$S6+'Цены на металл '!$T6*2+6)/1000*7.85*'Цены на металл '!F$3*1.25*'Цены на металл '!F$4</f>
        <v>130.36887499999997</v>
      </c>
      <c r="H6" s="93">
        <f>('Цены на металл '!$S6+'Цены на металл '!$T6*2+6)/1000*7.85*'Цены на металл '!G$3*1.25*'Цены на металл '!G$4</f>
        <v>182.37316250000001</v>
      </c>
      <c r="I6" s="124">
        <f>('Цены на металл '!$S6+'Цены на металл '!$T6*2+6)/1000*7.85*'Цены на металл '!H$3*('Цены на металл '!H$4*1.3)+('Цены на металл '!H$5*('Цены на металл '!$S6+'Цены на металл '!$T6*2+6)/1000*7.85*'Цены на металл '!H$3)</f>
        <v>149.39413500000001</v>
      </c>
      <c r="J6" s="124">
        <f>('Цены на металл '!$S6+'Цены на металл '!$T6*2+6)/1000*7.85*'Цены на металл '!I$3*('Цены на металл '!I$4*1.3)+('Цены на металл '!I$5*('Цены на металл '!$S6+'Цены на металл '!$T6*2+6)/1000*7.85*'Цены на металл '!I$3)</f>
        <v>190.13799</v>
      </c>
      <c r="K6" s="124">
        <f>('Цены на металл '!$S6+'Цены на металл '!$T6*2+6)/1000*7.85*'Цены на металл '!J$3*('Цены на металл '!J$4*1.3)+('Цены на металл '!J$5*('Цены на металл '!$S6+'Цены на металл '!$T6*2+6)/1000*7.85*'Цены на металл '!J$3)</f>
        <v>277.58542</v>
      </c>
      <c r="L6" s="140">
        <f>('Цены на металл '!$S6+'Цены на металл '!$T6*2+6)/1000*7.85*'Цены на металл '!K$3*1.8*'Цены на металл '!K$4</f>
        <v>272.31335999999999</v>
      </c>
      <c r="M6" s="140">
        <f>('Цены на металл '!$S6+'Цены на металл '!$T6*2+6)/1000*7.85*'Цены на металл '!L$3*1.8*'Цены на металл '!L$4</f>
        <v>396.09215999999998</v>
      </c>
      <c r="N6" s="140">
        <f>('Цены на металл '!$S6+'Цены на металл '!$T6*2+6)/1000*7.85*'Цены на металл '!M$3*1.8*'Цены на металл '!M$4</f>
        <v>495.11520000000002</v>
      </c>
      <c r="O6" s="140">
        <f>('Цены на металл '!$S6+'Цены на металл '!$T6*2+6)/1000*7.85*'Цены на металл '!N$3*1.8*'Цены на металл '!N$4</f>
        <v>594.13824</v>
      </c>
      <c r="P6" s="140">
        <f>('Цены на металл '!$S6+'Цены на металл '!$T6*2+6)/1000*7.85*'Цены на металл '!O$3*1.8*'Цены на металл '!O$4</f>
        <v>742.67279999999994</v>
      </c>
    </row>
    <row r="7" spans="1:16">
      <c r="A7" s="10" t="s">
        <v>1059</v>
      </c>
      <c r="B7" s="93">
        <f>('Цены на металл '!$S7+'Цены на металл '!$T7*2+6)/1000*7.85*'Цены на металл '!A$3*1.36*'Цены на металл '!A$4</f>
        <v>71.475819999999985</v>
      </c>
      <c r="C7" s="93">
        <f>('Цены на металл '!$S7+'Цены на металл '!$T7*2+6)/1000*7.85*'Цены на металл '!B$3*1.25*'Цены на металл '!B$4</f>
        <v>85.403093749999982</v>
      </c>
      <c r="D7" s="93">
        <f>('Цены на металл '!$S7+'Цены на металл '!$T7*2+6)/1000*7.85*'Цены на металл '!C$3*1.25*'Цены на металл '!C$4</f>
        <v>98.54203124999998</v>
      </c>
      <c r="E7" s="93">
        <f>('Цены на металл '!$S7+'Цены на металл '!$T7*2+6)/1000*7.85*'Цены на металл '!D$3*1.25*'Цены на металл '!D$4</f>
        <v>118.25043749999998</v>
      </c>
      <c r="F7" s="93">
        <f>('Цены на металл '!$S7+'Цены на металл '!$T7*2+6)/1000*7.85*'Цены на металл '!E$3*1.25*'Цены на металл '!E$4</f>
        <v>144.52831249999997</v>
      </c>
      <c r="G7" s="93">
        <f>('Цены на металл '!$S7+'Цены на металл '!$T7*2+6)/1000*7.85*'Цены на металл '!F$3*1.25*'Цены на металл '!F$4</f>
        <v>183.94512499999996</v>
      </c>
      <c r="H7" s="93">
        <f>('Цены на металл '!$S7+'Цены на металл '!$T7*2+6)/1000*7.85*'Цены на металл '!G$3*1.25*'Цены на металл '!G$4</f>
        <v>257.32103749999993</v>
      </c>
      <c r="I7" s="124">
        <f>('Цены на металл '!$S7+'Цены на металл '!$T7*2+6)/1000*7.85*'Цены на металл '!H$3*('Цены на металл '!H$4*1.3)+('Цены на металл '!H$5*('Цены на металл '!$S7+'Цены на металл '!$T7*2+6)/1000*7.85*'Цены на металл '!H$3)</f>
        <v>210.788985</v>
      </c>
      <c r="J7" s="124">
        <f>('Цены на металл '!$S7+'Цены на металл '!$T7*2+6)/1000*7.85*'Цены на металл '!I$3*('Цены на металл '!I$4*1.3)+('Цены на металл '!I$5*('Цены на металл '!$S7+'Цены на металл '!$T7*2+6)/1000*7.85*'Цены на металл '!I$3)</f>
        <v>268.27688999999992</v>
      </c>
      <c r="K7" s="124">
        <f>('Цены на металл '!$S7+'Цены на металл '!$T7*2+6)/1000*7.85*'Цены на металл '!J$3*('Цены на металл '!J$4*1.3)+('Цены на металл '!J$5*('Цены на металл '!$S7+'Цены на металл '!$T7*2+6)/1000*7.85*'Цены на металл '!J$3)</f>
        <v>391.66161999999997</v>
      </c>
      <c r="L7" s="140">
        <f>('Цены на металл '!$S7+'Цены на металл '!$T7*2+6)/1000*7.85*'Цены на металл '!K$3*1.8*'Цены на металл '!K$4</f>
        <v>384.22295999999994</v>
      </c>
      <c r="M7" s="140">
        <f>('Цены на металл '!$S7+'Цены на металл '!$T7*2+6)/1000*7.85*'Цены на металл '!L$3*1.8*'Цены на металл '!L$4</f>
        <v>558.86976000000004</v>
      </c>
      <c r="N7" s="140">
        <f>('Цены на металл '!$S7+'Цены на металл '!$T7*2+6)/1000*7.85*'Цены на металл '!M$3*1.8*'Цены на металл '!M$4</f>
        <v>698.58719999999983</v>
      </c>
      <c r="O7" s="140">
        <f>('Цены на металл '!$S7+'Цены на металл '!$T7*2+6)/1000*7.85*'Цены на металл '!N$3*1.8*'Цены на металл '!N$4</f>
        <v>838.30463999999984</v>
      </c>
      <c r="P7" s="140">
        <f>('Цены на металл '!$S7+'Цены на металл '!$T7*2+6)/1000*7.85*'Цены на металл '!O$3*1.8*'Цены на металл '!O$4</f>
        <v>1047.8807999999999</v>
      </c>
    </row>
    <row r="8" spans="1:16">
      <c r="A8" s="10" t="s">
        <v>1060</v>
      </c>
      <c r="B8" s="93">
        <f>('Цены на металл '!$S8+'Цены на металл '!$T8*2+6)/1000*7.85*'Цены на металл '!A$3*1.36*'Цены на металл '!A$4</f>
        <v>61.066719999999997</v>
      </c>
      <c r="C8" s="93">
        <f>('Цены на металл '!$S8+'Цены на металл '!$T8*2+6)/1000*7.85*'Цены на металл '!B$3*1.25*'Цены на металл '!B$4</f>
        <v>72.96575</v>
      </c>
      <c r="D8" s="93">
        <f>('Цены на металл '!$S8+'Цены на металл '!$T8*2+6)/1000*7.85*'Цены на металл '!C$3*1.25*'Цены на металл '!C$4</f>
        <v>84.191249999999997</v>
      </c>
      <c r="E8" s="93">
        <f>('Цены на металл '!$S8+'Цены на металл '!$T8*2+6)/1000*7.85*'Цены на металл '!D$3*1.25*'Цены на металл '!D$4</f>
        <v>101.02949999999998</v>
      </c>
      <c r="F8" s="93">
        <f>('Цены на металл '!$S8+'Цены на металл '!$T8*2+6)/1000*7.85*'Цены на металл '!E$3*1.25*'Цены на металл '!E$4</f>
        <v>123.48049999999999</v>
      </c>
      <c r="G8" s="93">
        <f>('Цены на металл '!$S8+'Цены на металл '!$T8*2+6)/1000*7.85*'Цены на металл '!F$3*1.25*'Цены на металл '!F$4</f>
        <v>157.15699999999998</v>
      </c>
      <c r="H8" s="93">
        <f>('Цены на металл '!$S8+'Цены на металл '!$T8*2+6)/1000*7.85*'Цены на металл '!G$3*1.25*'Цены на металл '!G$4</f>
        <v>219.84709999999998</v>
      </c>
      <c r="I8" s="124">
        <f>('Цены на металл '!$S8+'Цены на металл '!$T8*2+6)/1000*7.85*'Цены на металл '!H$3*('Цены на металл '!H$4*1.3)+('Цены на металл '!H$5*('Цены на металл '!$S8+'Цены на металл '!$T8*2+6)/1000*7.85*'Цены на металл '!H$3)</f>
        <v>180.09156000000002</v>
      </c>
      <c r="J8" s="124">
        <f>('Цены на металл '!$S8+'Цены на металл '!$T8*2+6)/1000*7.85*'Цены на металл '!I$3*('Цены на металл '!I$4*1.3)+('Цены на металл '!I$5*('Цены на металл '!$S8+'Цены на металл '!$T8*2+6)/1000*7.85*'Цены на металл '!I$3)</f>
        <v>229.20743999999996</v>
      </c>
      <c r="K8" s="124">
        <f>('Цены на металл '!$S8+'Цены на металл '!$T8*2+6)/1000*7.85*'Цены на металл '!J$3*('Цены на металл '!J$4*1.3)+('Цены на металл '!J$5*('Цены на металл '!$S8+'Цены на металл '!$T8*2+6)/1000*7.85*'Цены на металл '!J$3)</f>
        <v>334.62351999999998</v>
      </c>
      <c r="L8" s="140">
        <f>('Цены на металл '!$S8+'Цены на металл '!$T8*2+6)/1000*7.85*'Цены на металл '!K$3*1.8*'Цены на металл '!K$4</f>
        <v>328.26816000000002</v>
      </c>
      <c r="M8" s="140">
        <f>('Цены на металл '!$S8+'Цены на металл '!$T8*2+6)/1000*7.85*'Цены на металл '!L$3*1.8*'Цены на металл '!L$4</f>
        <v>477.48096000000004</v>
      </c>
      <c r="N8" s="140">
        <f>('Цены на металл '!$S8+'Цены на металл '!$T8*2+6)/1000*7.85*'Цены на металл '!M$3*1.8*'Цены на металл '!M$4</f>
        <v>596.85119999999995</v>
      </c>
      <c r="O8" s="140">
        <f>('Цены на металл '!$S8+'Цены на металл '!$T8*2+6)/1000*7.85*'Цены на металл '!N$3*1.8*'Цены на металл '!N$4</f>
        <v>716.22143999999992</v>
      </c>
      <c r="P8" s="140">
        <f>('Цены на металл '!$S8+'Цены на металл '!$T8*2+6)/1000*7.85*'Цены на металл '!O$3*1.8*'Цены на металл '!O$4</f>
        <v>895.27680000000009</v>
      </c>
    </row>
    <row r="9" spans="1:16">
      <c r="A9" s="10" t="s">
        <v>1061</v>
      </c>
      <c r="B9" s="93">
        <f>('Цены на металл '!$S9+'Цены на металл '!$T9*2+6)/1000*7.85*'Цены на металл '!A$3*1.36*'Цены на металл '!A$4</f>
        <v>78.415220000000005</v>
      </c>
      <c r="C9" s="93">
        <f>('Цены на металл '!$S9+'Цены на металл '!$T9*2+6)/1000*7.85*'Цены на металл '!B$3*1.25*'Цены на металл '!B$4</f>
        <v>93.694656249999994</v>
      </c>
      <c r="D9" s="93">
        <f>('Цены на металл '!$S9+'Цены на металл '!$T9*2+6)/1000*7.85*'Цены на металл '!C$3*1.25*'Цены на металл '!C$4</f>
        <v>108.10921875</v>
      </c>
      <c r="E9" s="93">
        <f>('Цены на металл '!$S9+'Цены на металл '!$T9*2+6)/1000*7.85*'Цены на металл '!D$3*1.25*'Цены на металл '!D$4</f>
        <v>129.73106249999998</v>
      </c>
      <c r="F9" s="93">
        <f>('Цены на металл '!$S9+'Цены на металл '!$T9*2+6)/1000*7.85*'Цены на металл '!E$3*1.25*'Цены на металл '!E$4</f>
        <v>158.56018750000001</v>
      </c>
      <c r="G9" s="93">
        <f>('Цены на металл '!$S9+'Цены на металл '!$T9*2+6)/1000*7.85*'Цены на металл '!F$3*1.25*'Цены на металл '!F$4</f>
        <v>201.80387500000001</v>
      </c>
      <c r="H9" s="93">
        <f>('Цены на металл '!$S9+'Цены на металл '!$T9*2+6)/1000*7.85*'Цены на металл '!G$3*1.25*'Цены на металл '!G$4</f>
        <v>282.30366250000003</v>
      </c>
      <c r="I9" s="124">
        <f>('Цены на металл '!$S9+'Цены на металл '!$T9*2+6)/1000*7.85*'Цены на металл '!H$3*('Цены на металл '!H$4*1.3)+('Цены на металл '!H$5*('Цены на металл '!$S9+'Цены на металл '!$T9*2+6)/1000*7.85*'Цены на металл '!H$3)</f>
        <v>231.25393500000001</v>
      </c>
      <c r="J9" s="124">
        <f>('Цены на металл '!$S9+'Цены на металл '!$T9*2+6)/1000*7.85*'Цены на металл '!I$3*('Цены на металл '!I$4*1.3)+('Цены на металл '!I$5*('Цены на металл '!$S9+'Цены на металл '!$T9*2+6)/1000*7.85*'Цены на металл '!I$3)</f>
        <v>294.32319000000001</v>
      </c>
      <c r="K9" s="124">
        <f>('Цены на металл '!$S9+'Цены на металл '!$T9*2+6)/1000*7.85*'Цены на металл '!J$3*('Цены на металл '!J$4*1.3)+('Цены на металл '!J$5*('Цены на металл '!$S9+'Цены на металл '!$T9*2+6)/1000*7.85*'Цены на металл '!J$3)</f>
        <v>429.68702000000002</v>
      </c>
      <c r="L9" s="140">
        <f>('Цены на металл '!$S9+'Цены на металл '!$T9*2+6)/1000*7.85*'Цены на металл '!K$3*1.8*'Цены на металл '!K$4</f>
        <v>421.52616</v>
      </c>
      <c r="M9" s="140">
        <f>('Цены на металл '!$S9+'Цены на металл '!$T9*2+6)/1000*7.85*'Цены на металл '!L$3*1.8*'Цены на металл '!L$4</f>
        <v>613.12896000000001</v>
      </c>
      <c r="N9" s="140">
        <f>('Цены на металл '!$S9+'Цены на металл '!$T9*2+6)/1000*7.85*'Цены на металл '!M$3*1.8*'Цены на металл '!M$4</f>
        <v>766.41120000000001</v>
      </c>
      <c r="O9" s="140">
        <f>('Цены на металл '!$S9+'Цены на металл '!$T9*2+6)/1000*7.85*'Цены на металл '!N$3*1.8*'Цены на металл '!N$4</f>
        <v>919.69344000000001</v>
      </c>
      <c r="P9" s="140">
        <f>('Цены на металл '!$S9+'Цены на металл '!$T9*2+6)/1000*7.85*'Цены на металл '!O$3*1.8*'Цены на металл '!O$4</f>
        <v>1149.6168</v>
      </c>
    </row>
    <row r="10" spans="1:16">
      <c r="A10" s="10" t="s">
        <v>1062</v>
      </c>
      <c r="B10" s="93">
        <f>('Цены на металл '!$S10+'Цены на металл '!$T10*2+6)/1000*7.85*'Цены на металл '!A$3*1.36*'Цены на металл '!A$4</f>
        <v>81.884919999999994</v>
      </c>
      <c r="C10" s="93">
        <f>('Цены на металл '!$S10+'Цены на металл '!$T10*2+6)/1000*7.85*'Цены на металл '!B$3*1.25*'Цены на металл '!B$4</f>
        <v>97.840437499999979</v>
      </c>
      <c r="D10" s="93">
        <f>('Цены на металл '!$S10+'Цены на металл '!$T10*2+6)/1000*7.85*'Цены на металл '!C$3*1.25*'Цены на металл '!C$4</f>
        <v>112.89281249999999</v>
      </c>
      <c r="E10" s="93">
        <f>('Цены на металл '!$S10+'Цены на металл '!$T10*2+6)/1000*7.85*'Цены на металл '!D$3*1.25*'Цены на металл '!D$4</f>
        <v>135.47137499999997</v>
      </c>
      <c r="F10" s="93">
        <f>('Цены на металл '!$S10+'Цены на металл '!$T10*2+6)/1000*7.85*'Цены на металл '!E$3*1.25*'Цены на металл '!E$4</f>
        <v>165.57612499999999</v>
      </c>
      <c r="G10" s="93">
        <f>('Цены на металл '!$S10+'Цены на металл '!$T10*2+6)/1000*7.85*'Цены на металл '!F$3*1.25*'Цены на металл '!F$4</f>
        <v>210.73325</v>
      </c>
      <c r="H10" s="93">
        <f>('Цены на металл '!$S10+'Цены на металл '!$T10*2+6)/1000*7.85*'Цены на металл '!G$3*1.25*'Цены на металл '!G$4</f>
        <v>294.79497499999997</v>
      </c>
      <c r="I10" s="124">
        <f>('Цены на металл '!$S10+'Цены на металл '!$T10*2+6)/1000*7.85*'Цены на металл '!H$3*('Цены на металл '!H$4*1.3)+('Цены на металл '!H$5*('Цены на металл '!$S10+'Цены на металл '!$T10*2+6)/1000*7.85*'Цены на металл '!H$3)</f>
        <v>241.48640999999998</v>
      </c>
      <c r="J10" s="124">
        <f>('Цены на металл '!$S10+'Цены на металл '!$T10*2+6)/1000*7.85*'Цены на металл '!I$3*('Цены на металл '!I$4*1.3)+('Цены на металл '!I$5*('Цены на металл '!$S10+'Цены на металл '!$T10*2+6)/1000*7.85*'Цены на металл '!I$3)</f>
        <v>307.34633999999994</v>
      </c>
      <c r="K10" s="124">
        <f>('Цены на металл '!$S10+'Цены на металл '!$T10*2+6)/1000*7.85*'Цены на металл '!J$3*('Цены на металл '!J$4*1.3)+('Цены на металл '!J$5*('Цены на металл '!$S10+'Цены на металл '!$T10*2+6)/1000*7.85*'Цены на металл '!J$3)</f>
        <v>448.69971999999996</v>
      </c>
      <c r="L10" s="140">
        <f>('Цены на металл '!$S10+'Цены на металл '!$T10*2+6)/1000*7.85*'Цены на металл '!K$3*1.8*'Цены на металл '!K$4</f>
        <v>440.17775999999992</v>
      </c>
      <c r="M10" s="140">
        <f>('Цены на металл '!$S10+'Цены на металл '!$T10*2+6)/1000*7.85*'Цены на металл '!L$3*1.8*'Цены на металл '!L$4</f>
        <v>640.25855999999999</v>
      </c>
      <c r="N10" s="140">
        <f>('Цены на металл '!$S10+'Цены на металл '!$T10*2+6)/1000*7.85*'Цены на металл '!M$3*1.8*'Цены на металл '!M$4</f>
        <v>800.32319999999993</v>
      </c>
      <c r="O10" s="140">
        <f>('Цены на металл '!$S10+'Цены на металл '!$T10*2+6)/1000*7.85*'Цены на металл '!N$3*1.8*'Цены на металл '!N$4</f>
        <v>960.38783999999987</v>
      </c>
      <c r="P10" s="140">
        <f>('Цены на металл '!$S10+'Цены на металл '!$T10*2+6)/1000*7.85*'Цены на металл '!O$3*1.8*'Цены на металл '!O$4</f>
        <v>1200.4848</v>
      </c>
    </row>
    <row r="11" spans="1:16">
      <c r="A11" s="10" t="s">
        <v>1063</v>
      </c>
      <c r="B11" s="93">
        <f>('Цены на металл '!$S11+'Цены на металл '!$T11*2+6)/1000*7.85*'Цены на металл '!A$3*1.36*'Цены на металл '!A$4</f>
        <v>92.294020000000003</v>
      </c>
      <c r="C11" s="93">
        <f>('Цены на металл '!$S11+'Цены на металл '!$T11*2+6)/1000*7.85*'Цены на металл '!B$3*1.25*'Цены на металл '!B$4</f>
        <v>110.27778124999999</v>
      </c>
      <c r="D11" s="93">
        <f>('Цены на металл '!$S11+'Цены на металл '!$T11*2+6)/1000*7.85*'Цены на металл '!C$3*1.25*'Цены на металл '!C$4</f>
        <v>127.24359374999999</v>
      </c>
      <c r="E11" s="93">
        <f>('Цены на металл '!$S11+'Цены на металл '!$T11*2+6)/1000*7.85*'Цены на металл '!D$3*1.25*'Цены на металл '!D$4</f>
        <v>152.69231249999999</v>
      </c>
      <c r="F11" s="93">
        <f>('Цены на металл '!$S11+'Цены на металл '!$T11*2+6)/1000*7.85*'Цены на металл '!E$3*1.25*'Цены на металл '!E$4</f>
        <v>186.62393750000001</v>
      </c>
      <c r="G11" s="93">
        <f>('Цены на металл '!$S11+'Цены на металл '!$T11*2+6)/1000*7.85*'Цены на металл '!F$3*1.25*'Цены на металл '!F$4</f>
        <v>237.52137499999998</v>
      </c>
      <c r="H11" s="93">
        <f>('Цены на металл '!$S11+'Цены на металл '!$T11*2+6)/1000*7.85*'Цены на металл '!G$3*1.25*'Цены на металл '!G$4</f>
        <v>332.26891249999994</v>
      </c>
      <c r="I11" s="124">
        <f>('Цены на металл '!$S11+'Цены на металл '!$T11*2+6)/1000*7.85*'Цены на металл '!H$3*('Цены на металл '!H$4*1.3)+('Цены на металл '!H$5*('Цены на металл '!$S11+'Цены на металл '!$T11*2+6)/1000*7.85*'Цены на металл '!H$3)</f>
        <v>272.18383499999999</v>
      </c>
      <c r="J11" s="124">
        <f>('Цены на металл '!$S11+'Цены на металл '!$T11*2+6)/1000*7.85*'Цены на металл '!I$3*('Цены на металл '!I$4*1.3)+('Цены на металл '!I$5*('Цены на металл '!$S11+'Цены на металл '!$T11*2+6)/1000*7.85*'Цены на металл '!I$3)</f>
        <v>346.41578999999996</v>
      </c>
      <c r="K11" s="124">
        <f>('Цены на металл '!$S11+'Цены на металл '!$T11*2+6)/1000*7.85*'Цены на металл '!J$3*('Цены на металл '!J$4*1.3)+('Цены на металл '!J$5*('Цены на металл '!$S11+'Цены на металл '!$T11*2+6)/1000*7.85*'Цены на металл '!J$3)</f>
        <v>505.73782000000006</v>
      </c>
      <c r="L11" s="140">
        <f>('Цены на металл '!$S11+'Цены на металл '!$T11*2+6)/1000*7.85*'Цены на металл '!K$3*1.8*'Цены на металл '!K$4</f>
        <v>496.13256000000001</v>
      </c>
      <c r="M11" s="140">
        <f>('Цены на металл '!$S11+'Цены на металл '!$T11*2+6)/1000*7.85*'Цены на металл '!L$3*1.8*'Цены на металл '!L$4</f>
        <v>721.64736000000005</v>
      </c>
      <c r="N11" s="140">
        <f>('Цены на металл '!$S11+'Цены на металл '!$T11*2+6)/1000*7.85*'Цены на металл '!M$3*1.8*'Цены на металл '!M$4</f>
        <v>902.05919999999992</v>
      </c>
      <c r="O11" s="140">
        <f>('Цены на металл '!$S11+'Цены на металл '!$T11*2+6)/1000*7.85*'Цены на металл '!N$3*1.8*'Цены на металл '!N$4</f>
        <v>1082.4710399999999</v>
      </c>
      <c r="P11" s="140">
        <f>('Цены на металл '!$S11+'Цены на металл '!$T11*2+6)/1000*7.85*'Цены на металл '!O$3*1.8*'Цены на металл '!O$4</f>
        <v>1353.0888</v>
      </c>
    </row>
    <row r="12" spans="1:16">
      <c r="A12" s="10" t="s">
        <v>1064</v>
      </c>
      <c r="B12" s="93">
        <f>('Цены на металл '!$S12+'Цены на металл '!$T12*2+6)/1000*7.85*'Цены на металл '!A$3*1.36*'Цены на металл '!A$4</f>
        <v>106.17282</v>
      </c>
      <c r="C12" s="93">
        <f>('Цены на металл '!$S12+'Цены на металл '!$T12*2+6)/1000*7.85*'Цены на металл '!B$3*1.25*'Цены на металл '!B$4</f>
        <v>126.86090625</v>
      </c>
      <c r="D12" s="93">
        <f>('Цены на металл '!$S12+'Цены на металл '!$T12*2+6)/1000*7.85*'Цены на металл '!C$3*1.25*'Цены на металл '!C$4</f>
        <v>146.37796875000001</v>
      </c>
      <c r="E12" s="93">
        <f>('Цены на металл '!$S12+'Цены на металл '!$T12*2+6)/1000*7.85*'Цены на металл '!D$3*1.25*'Цены на металл '!D$4</f>
        <v>175.65356249999999</v>
      </c>
      <c r="F12" s="93">
        <f>('Цены на металл '!$S12+'Цены на металл '!$T12*2+6)/1000*7.85*'Цены на металл '!E$3*1.25*'Цены на металл '!E$4</f>
        <v>214.68768750000001</v>
      </c>
      <c r="G12" s="93">
        <f>('Цены на металл '!$S12+'Цены на металл '!$T12*2+6)/1000*7.85*'Цены на металл '!F$3*1.25*'Цены на металл '!F$4</f>
        <v>273.23887499999995</v>
      </c>
      <c r="H12" s="93">
        <f>('Цены на металл '!$S12+'Цены на металл '!$T12*2+6)/1000*7.85*'Цены на металл '!G$3*1.25*'Цены на металл '!G$4</f>
        <v>382.23416249999997</v>
      </c>
      <c r="I12" s="124">
        <f>('Цены на металл '!$S12+'Цены на металл '!$T12*2+6)/1000*7.85*'Цены на металл '!H$3*('Цены на металл '!H$4*1.3)+('Цены на металл '!H$5*('Цены на металл '!$S12+'Цены на металл '!$T12*2+6)/1000*7.85*'Цены на металл '!H$3)</f>
        <v>313.11373500000002</v>
      </c>
      <c r="J12" s="124">
        <f>('Цены на металл '!$S12+'Цены на металл '!$T12*2+6)/1000*7.85*'Цены на металл '!I$3*('Цены на металл '!I$4*1.3)+('Цены на металл '!I$5*('Цены на металл '!$S12+'Цены на металл '!$T12*2+6)/1000*7.85*'Цены на металл '!I$3)</f>
        <v>398.50838999999996</v>
      </c>
      <c r="K12" s="124">
        <f>('Цены на металл '!$S12+'Цены на металл '!$T12*2+6)/1000*7.85*'Цены на металл '!J$3*('Цены на металл '!J$4*1.3)+('Цены на металл '!J$5*('Цены на металл '!$S12+'Цены на металл '!$T12*2+6)/1000*7.85*'Цены на металл '!J$3)</f>
        <v>581.78862000000004</v>
      </c>
      <c r="L12" s="140">
        <f>('Цены на металл '!$S12+'Цены на металл '!$T12*2+6)/1000*7.85*'Цены на металл '!K$3*1.8*'Цены на металл '!K$4</f>
        <v>570.73896000000002</v>
      </c>
      <c r="M12" s="140">
        <f>('Цены на металл '!$S12+'Цены на металл '!$T12*2+6)/1000*7.85*'Цены на металл '!L$3*1.8*'Цены на металл '!L$4</f>
        <v>830.16576000000009</v>
      </c>
      <c r="N12" s="140">
        <f>('Цены на металл '!$S12+'Цены на металл '!$T12*2+6)/1000*7.85*'Цены на металл '!M$3*1.8*'Цены на металл '!M$4</f>
        <v>1037.7072000000001</v>
      </c>
      <c r="O12" s="140">
        <f>('Цены на металл '!$S12+'Цены на металл '!$T12*2+6)/1000*7.85*'Цены на металл '!N$3*1.8*'Цены на металл '!N$4</f>
        <v>1245.24864</v>
      </c>
      <c r="P12" s="140">
        <f>('Цены на металл '!$S12+'Цены на металл '!$T12*2+6)/1000*7.85*'Цены на металл '!O$3*1.8*'Цены на металл '!O$4</f>
        <v>1556.5608</v>
      </c>
    </row>
    <row r="13" spans="1:16">
      <c r="A13" s="10" t="s">
        <v>1065</v>
      </c>
      <c r="B13" s="93">
        <f>('Цены на металл '!$S13+'Цены на металл '!$T13*2+6)/1000*7.85*'Цены на металл '!A$3*1.36*'Цены на металл '!A$4</f>
        <v>78.415220000000005</v>
      </c>
      <c r="C13" s="93">
        <f>('Цены на металл '!$S13+'Цены на металл '!$T13*2+6)/1000*7.85*'Цены на металл '!B$3*1.25*'Цены на металл '!B$4</f>
        <v>93.694656249999994</v>
      </c>
      <c r="D13" s="93">
        <f>('Цены на металл '!$S13+'Цены на металл '!$T13*2+6)/1000*7.85*'Цены на металл '!C$3*1.25*'Цены на металл '!C$4</f>
        <v>108.10921875</v>
      </c>
      <c r="E13" s="93">
        <f>('Цены на металл '!$S13+'Цены на металл '!$T13*2+6)/1000*7.85*'Цены на металл '!D$3*1.25*'Цены на металл '!D$4</f>
        <v>129.73106249999998</v>
      </c>
      <c r="F13" s="93">
        <f>('Цены на металл '!$S13+'Цены на металл '!$T13*2+6)/1000*7.85*'Цены на металл '!E$3*1.25*'Цены на металл '!E$4</f>
        <v>158.56018750000001</v>
      </c>
      <c r="G13" s="93">
        <f>('Цены на металл '!$S13+'Цены на металл '!$T13*2+6)/1000*7.85*'Цены на металл '!F$3*1.25*'Цены на металл '!F$4</f>
        <v>201.80387500000001</v>
      </c>
      <c r="H13" s="93">
        <f>('Цены на металл '!$S13+'Цены на металл '!$T13*2+6)/1000*7.85*'Цены на металл '!G$3*1.25*'Цены на металл '!G$4</f>
        <v>282.30366250000003</v>
      </c>
      <c r="I13" s="124">
        <f>('Цены на металл '!$S13+'Цены на металл '!$T13*2+6)/1000*7.85*'Цены на металл '!H$3*('Цены на металл '!H$4*1.3)+('Цены на металл '!H$5*('Цены на металл '!$S13+'Цены на металл '!$T13*2+6)/1000*7.85*'Цены на металл '!H$3)</f>
        <v>231.25393500000001</v>
      </c>
      <c r="J13" s="124">
        <f>('Цены на металл '!$S13+'Цены на металл '!$T13*2+6)/1000*7.85*'Цены на металл '!I$3*('Цены на металл '!I$4*1.3)+('Цены на металл '!I$5*('Цены на металл '!$S13+'Цены на металл '!$T13*2+6)/1000*7.85*'Цены на металл '!I$3)</f>
        <v>294.32319000000001</v>
      </c>
      <c r="K13" s="124">
        <f>('Цены на металл '!$S13+'Цены на металл '!$T13*2+6)/1000*7.85*'Цены на металл '!J$3*('Цены на металл '!J$4*1.3)+('Цены на металл '!J$5*('Цены на металл '!$S13+'Цены на металл '!$T13*2+6)/1000*7.85*'Цены на металл '!J$3)</f>
        <v>429.68702000000002</v>
      </c>
      <c r="L13" s="140">
        <f>('Цены на металл '!$S13+'Цены на металл '!$T13*2+6)/1000*7.85*'Цены на металл '!K$3*1.8*'Цены на металл '!K$4</f>
        <v>421.52616</v>
      </c>
      <c r="M13" s="140">
        <f>('Цены на металл '!$S13+'Цены на металл '!$T13*2+6)/1000*7.85*'Цены на металл '!L$3*1.8*'Цены на металл '!L$4</f>
        <v>613.12896000000001</v>
      </c>
      <c r="N13" s="140">
        <f>('Цены на металл '!$S13+'Цены на металл '!$T13*2+6)/1000*7.85*'Цены на металл '!M$3*1.8*'Цены на металл '!M$4</f>
        <v>766.41120000000001</v>
      </c>
      <c r="O13" s="140">
        <f>('Цены на металл '!$S13+'Цены на металл '!$T13*2+6)/1000*7.85*'Цены на металл '!N$3*1.8*'Цены на металл '!N$4</f>
        <v>919.69344000000001</v>
      </c>
      <c r="P13" s="140">
        <f>('Цены на металл '!$S13+'Цены на металл '!$T13*2+6)/1000*7.85*'Цены на металл '!O$3*1.8*'Цены на металл '!O$4</f>
        <v>1149.6168</v>
      </c>
    </row>
    <row r="14" spans="1:16">
      <c r="A14" s="10" t="s">
        <v>1066</v>
      </c>
      <c r="B14" s="93">
        <f>('Цены на металл '!$S14+'Цены на металл '!$T14*2+6)/1000*7.85*'Цены на металл '!A$3*1.36*'Цены на металл '!A$4</f>
        <v>88.82432</v>
      </c>
      <c r="C14" s="93">
        <f>('Цены на металл '!$S14+'Цены на металл '!$T14*2+6)/1000*7.85*'Цены на металл '!B$3*1.25*'Цены на металл '!B$4</f>
        <v>106.13199999999999</v>
      </c>
      <c r="D14" s="93">
        <f>('Цены на металл '!$S14+'Цены на металл '!$T14*2+6)/1000*7.85*'Цены на металл '!C$3*1.25*'Цены на металл '!C$4</f>
        <v>122.46</v>
      </c>
      <c r="E14" s="93">
        <f>('Цены на металл '!$S14+'Цены на металл '!$T14*2+6)/1000*7.85*'Цены на металл '!D$3*1.25*'Цены на металл '!D$4</f>
        <v>146.95199999999997</v>
      </c>
      <c r="F14" s="93">
        <f>('Цены на металл '!$S14+'Цены на металл '!$T14*2+6)/1000*7.85*'Цены на металл '!E$3*1.25*'Цены на металл '!E$4</f>
        <v>179.60800000000003</v>
      </c>
      <c r="G14" s="93">
        <f>('Цены на металл '!$S14+'Цены на металл '!$T14*2+6)/1000*7.85*'Цены на металл '!F$3*1.25*'Цены на металл '!F$4</f>
        <v>228.59199999999996</v>
      </c>
      <c r="H14" s="93">
        <f>('Цены на металл '!$S14+'Цены на металл '!$T14*2+6)/1000*7.85*'Цены на металл '!G$3*1.25*'Цены на металл '!G$4</f>
        <v>319.77759999999995</v>
      </c>
      <c r="I14" s="124">
        <f>('Цены на металл '!$S14+'Цены на металл '!$T14*2+6)/1000*7.85*'Цены на металл '!H$3*('Цены на металл '!H$4*1.3)+('Цены на металл '!H$5*('Цены на металл '!$S14+'Цены на металл '!$T14*2+6)/1000*7.85*'Цены на металл '!H$3)</f>
        <v>261.95136000000002</v>
      </c>
      <c r="J14" s="124">
        <f>('Цены на металл '!$S14+'Цены на металл '!$T14*2+6)/1000*7.85*'Цены на металл '!I$3*('Цены на металл '!I$4*1.3)+('Цены на металл '!I$5*('Цены на металл '!$S14+'Цены на металл '!$T14*2+6)/1000*7.85*'Цены на металл '!I$3)</f>
        <v>333.39263999999991</v>
      </c>
      <c r="K14" s="124">
        <f>('Цены на металл '!$S14+'Цены на металл '!$T14*2+6)/1000*7.85*'Цены на металл '!J$3*('Цены на металл '!J$4*1.3)+('Цены на металл '!J$5*('Цены на металл '!$S14+'Цены на металл '!$T14*2+6)/1000*7.85*'Цены на металл '!J$3)</f>
        <v>486.72512</v>
      </c>
      <c r="L14" s="140">
        <f>('Цены на металл '!$S14+'Цены на металл '!$T14*2+6)/1000*7.85*'Цены на металл '!K$3*1.8*'Цены на металл '!K$4</f>
        <v>477.48096000000004</v>
      </c>
      <c r="M14" s="140">
        <f>('Цены на металл '!$S14+'Цены на металл '!$T14*2+6)/1000*7.85*'Цены на металл '!L$3*1.8*'Цены на металл '!L$4</f>
        <v>694.51775999999995</v>
      </c>
      <c r="N14" s="140">
        <f>('Цены на металл '!$S14+'Цены на металл '!$T14*2+6)/1000*7.85*'Цены на металл '!M$3*1.8*'Цены на металл '!M$4</f>
        <v>868.14719999999988</v>
      </c>
      <c r="O14" s="140">
        <f>('Цены на металл '!$S14+'Цены на металл '!$T14*2+6)/1000*7.85*'Цены на металл '!N$3*1.8*'Цены на металл '!N$4</f>
        <v>1041.77664</v>
      </c>
      <c r="P14" s="140">
        <f>('Цены на металл '!$S14+'Цены на металл '!$T14*2+6)/1000*7.85*'Цены на металл '!O$3*1.8*'Цены на металл '!O$4</f>
        <v>1302.2207999999998</v>
      </c>
    </row>
    <row r="15" spans="1:16" ht="16.5" customHeight="1">
      <c r="A15" s="10" t="s">
        <v>1067</v>
      </c>
      <c r="B15" s="93">
        <f>('Цены на металл '!$S15+'Цены на металл '!$T15*2+6)/1000*7.85*'Цены на металл '!A$3*1.36*'Цены на металл '!A$4</f>
        <v>109.64252</v>
      </c>
      <c r="C15" s="93">
        <f>('Цены на металл '!$S15+'Цены на металл '!$T15*2+6)/1000*7.85*'Цены на металл '!B$3*1.25*'Цены на металл '!B$4</f>
        <v>131.0066875</v>
      </c>
      <c r="D15" s="93">
        <f>('Цены на металл '!$S15+'Цены на металл '!$T15*2+6)/1000*7.85*'Цены на металл '!C$3*1.25*'Цены на металл '!C$4</f>
        <v>151.16156249999997</v>
      </c>
      <c r="E15" s="93">
        <f>('Цены на металл '!$S15+'Цены на металл '!$T15*2+6)/1000*7.85*'Цены на металл '!D$3*1.25*'Цены на металл '!D$4</f>
        <v>181.39387500000001</v>
      </c>
      <c r="F15" s="93">
        <f>('Цены на металл '!$S15+'Цены на металл '!$T15*2+6)/1000*7.85*'Цены на металл '!E$3*1.25*'Цены на металл '!E$4</f>
        <v>221.70362499999999</v>
      </c>
      <c r="G15" s="93">
        <f>('Цены на металл '!$S15+'Цены на металл '!$T15*2+6)/1000*7.85*'Цены на металл '!F$3*1.25*'Цены на металл '!F$4</f>
        <v>282.16824999999994</v>
      </c>
      <c r="H15" s="93">
        <f>('Цены на металл '!$S15+'Цены на металл '!$T15*2+6)/1000*7.85*'Цены на металл '!G$3*1.25*'Цены на металл '!G$4</f>
        <v>394.72547499999996</v>
      </c>
      <c r="I15" s="124">
        <f>('Цены на металл '!$S15+'Цены на металл '!$T15*2+6)/1000*7.85*'Цены на металл '!H$3*('Цены на металл '!H$4*1.3)+('Цены на металл '!H$5*('Цены на металл '!$S15+'Цены на металл '!$T15*2+6)/1000*7.85*'Цены на металл '!H$3)</f>
        <v>323.34621000000004</v>
      </c>
      <c r="J15" s="124">
        <f>('Цены на металл '!$S15+'Цены на металл '!$T15*2+6)/1000*7.85*'Цены на металл '!I$3*('Цены на металл '!I$4*1.3)+('Цены на металл '!I$5*('Цены на металл '!$S15+'Цены на металл '!$T15*2+6)/1000*7.85*'Цены на металл '!I$3)</f>
        <v>411.53153999999995</v>
      </c>
      <c r="K15" s="124">
        <f>('Цены на металл '!$S15+'Цены на металл '!$T15*2+6)/1000*7.85*'Цены на металл '!J$3*('Цены на металл '!J$4*1.3)+('Цены на металл '!J$5*('Цены на металл '!$S15+'Цены на металл '!$T15*2+6)/1000*7.85*'Цены на металл '!J$3)</f>
        <v>600.80132000000003</v>
      </c>
      <c r="L15" s="140">
        <f>('Цены на металл '!$S15+'Цены на металл '!$T15*2+6)/1000*7.85*'Цены на металл '!K$3*1.8*'Цены на металл '!K$4</f>
        <v>589.39056000000005</v>
      </c>
      <c r="M15" s="140">
        <f>('Цены на металл '!$S15+'Цены на металл '!$T15*2+6)/1000*7.85*'Цены на металл '!L$3*1.8*'Цены на металл '!L$4</f>
        <v>857.29536000000007</v>
      </c>
      <c r="N15" s="140">
        <f>('Цены на металл '!$S15+'Цены на металл '!$T15*2+6)/1000*7.85*'Цены на металл '!M$3*1.8*'Цены на металл '!M$4</f>
        <v>1071.6192000000001</v>
      </c>
      <c r="O15" s="140">
        <f>('Цены на металл '!$S15+'Цены на металл '!$T15*2+6)/1000*7.85*'Цены на металл '!N$3*1.8*'Цены на металл '!N$4</f>
        <v>1285.9430399999999</v>
      </c>
      <c r="P15" s="140">
        <f>('Цены на металл '!$S15+'Цены на металл '!$T15*2+6)/1000*7.85*'Цены на металл '!O$3*1.8*'Цены на металл '!O$4</f>
        <v>1607.4287999999999</v>
      </c>
    </row>
    <row r="16" spans="1:16" ht="14.95" customHeight="1">
      <c r="A16" s="10" t="s">
        <v>1068</v>
      </c>
      <c r="B16" s="93">
        <f>('Цены на металл '!$S17+'Цены на металл '!$T17*2+6)/1000*7.85*'Цены на металл '!A$3*1.36*'Цены на металл '!A$4</f>
        <v>123.52131999999999</v>
      </c>
      <c r="C16" s="93">
        <f>('Цены на металл '!$S17+'Цены на металл '!$T17*2+6)/1000*7.85*'Цены на металл '!B$3*1.25*'Цены на металл '!B$4</f>
        <v>147.58981249999997</v>
      </c>
      <c r="D16" s="93">
        <f>('Цены на металл '!$S17+'Цены на металл '!$T17*2+6)/1000*7.85*'Цены на металл '!C$3*1.25*'Цены на металл '!C$4</f>
        <v>170.29593749999998</v>
      </c>
      <c r="E16" s="93">
        <f>('Цены на металл '!$S17+'Цены на металл '!$T17*2+6)/1000*7.85*'Цены на металл '!D$3*1.25*'Цены на металл '!D$4</f>
        <v>204.35512499999996</v>
      </c>
      <c r="F16" s="93">
        <f>('Цены на металл '!$S17+'Цены на металл '!$T17*2+6)/1000*7.85*'Цены на металл '!E$3*1.25*'Цены на металл '!E$4</f>
        <v>249.76737499999999</v>
      </c>
      <c r="G16" s="93">
        <f>('Цены на металл '!$S17+'Цены на металл '!$T17*2+6)/1000*7.85*'Цены на металл '!F$3*1.25*'Цены на металл '!F$4</f>
        <v>317.88574999999997</v>
      </c>
      <c r="H16" s="93">
        <f>('Цены на металл '!$S17+'Цены на металл '!$T17*2+6)/1000*7.85*'Цены на металл '!G$3*1.25*'Цены на металл '!G$4</f>
        <v>444.69072499999987</v>
      </c>
      <c r="I16" s="124">
        <f>('Цены на металл '!$S17+'Цены на металл '!$T17*2+6)/1000*7.85*'Цены на металл '!H$3*('Цены на металл '!H$4*1.3)+('Цены на металл '!H$5*('Цены на металл '!$S17+'Цены на металл '!$T17*2+6)/1000*7.85*'Цены на металл '!H$3)</f>
        <v>364.27611000000002</v>
      </c>
      <c r="J16" s="124">
        <f>('Цены на металл '!$S17+'Цены на металл '!$T17*2+6)/1000*7.85*'Цены на металл '!I$3*('Цены на металл '!I$4*1.3)+('Цены на металл '!I$5*('Цены на металл '!$S17+'Цены на металл '!$T17*2+6)/1000*7.85*'Цены на металл '!I$3)</f>
        <v>463.6241399999999</v>
      </c>
      <c r="K16" s="124">
        <f>('Цены на металл '!$S17+'Цены на металл '!$T17*2+6)/1000*7.85*'Цены на металл '!J$3*('Цены на металл '!J$4*1.3)+('Цены на металл '!J$5*('Цены на металл '!$S16+'Цены на металл '!$T16*2+6)/1000*7.85*'Цены на металл '!J$3)</f>
        <v>418.58711999999997</v>
      </c>
      <c r="L16" s="140">
        <f>('Цены на металл '!$S17+'Цены на металл '!$T17*2+6)/1000*7.85*'Цены на металл '!K$3*1.8*'Цены на металл '!K$4</f>
        <v>663.99695999999994</v>
      </c>
      <c r="M16" s="140">
        <f>('Цены на металл '!$S17+'Цены на металл '!$T17*2+6)/1000*7.85*'Цены на металл '!L$3*1.8*'Цены на металл '!L$4</f>
        <v>965.81376</v>
      </c>
      <c r="N16" s="140">
        <f>('Цены на металл '!$S17+'Цены на металл '!$T17*2+6)/1000*7.85*'Цены на металл '!M$3*1.8*'Цены на металл '!M$4</f>
        <v>1207.2671999999998</v>
      </c>
      <c r="O16" s="140">
        <f>('Цены на металл '!$S17+'Цены на металл '!$T17*2+6)/1000*7.85*'Цены на металл '!N$3*1.8*'Цены на металл '!N$4</f>
        <v>1448.7206399999995</v>
      </c>
      <c r="P16" s="140">
        <f>('Цены на металл '!$S17+'Цены на металл '!$T17*2+6)/1000*7.85*'Цены на металл '!O$3*1.8*'Цены на металл '!O$4</f>
        <v>1810.9007999999999</v>
      </c>
    </row>
    <row r="17" spans="1:16" ht="14.95" customHeight="1">
      <c r="A17" s="10" t="s">
        <v>1069</v>
      </c>
      <c r="B17" s="93">
        <f>('Цены на металл '!$S18+'Цены на металл '!$T18*2+6)/1000*7.85*'Цены на металл '!A$3*1.36*'Цены на металл '!A$4</f>
        <v>158.21832000000001</v>
      </c>
      <c r="C17" s="93">
        <f>('Цены на металл '!$S18+'Цены на металл '!$T18*2+6)/1000*7.85*'Цены на металл '!B$3*1.25*'Цены на металл '!B$4</f>
        <v>189.04762500000001</v>
      </c>
      <c r="D17" s="93">
        <f>('Цены на металл '!$S18+'Цены на металл '!$T18*2+6)/1000*7.85*'Цены на металл '!C$3*1.25*'Цены на металл '!C$4</f>
        <v>218.13187500000001</v>
      </c>
      <c r="E17" s="93">
        <f>('Цены на металл '!$S18+'Цены на металл '!$T18*2+6)/1000*7.85*'Цены на металл '!D$3*1.25*'Цены на металл '!D$4</f>
        <v>261.75824999999998</v>
      </c>
      <c r="F17" s="93">
        <f>('Цены на металл '!$S18+'Цены на металл '!$T18*2+6)/1000*7.85*'Цены на металл '!E$3*1.25*'Цены на металл '!E$4</f>
        <v>319.92675000000003</v>
      </c>
      <c r="G17" s="93">
        <f>('Цены на металл '!$S18+'Цены на металл '!$T18*2+6)/1000*7.85*'Цены на металл '!F$3*1.25*'Цены на металл '!F$4</f>
        <v>407.17949999999996</v>
      </c>
      <c r="H17" s="93">
        <f>('Цены на металл '!$S18+'Цены на металл '!$T18*2+6)/1000*7.85*'Цены на металл '!G$3*1.25*'Цены на металл '!G$4</f>
        <v>569.60384999999997</v>
      </c>
      <c r="I17" s="124">
        <f>('Цены на металл '!$S18+'Цены на металл '!$T18*2+6)/1000*7.85*'Цены на металл '!H$3*('Цены на металл '!H$4*1.3)+('Цены на металл '!H$5*('Цены на металл '!$S18+'Цены на металл '!$T18*2+6)/1000*7.85*'Цены на металл '!H$3)</f>
        <v>466.60086000000001</v>
      </c>
      <c r="J17" s="124">
        <f>('Цены на металл '!$S18+'Цены на металл '!$T18*2+6)/1000*7.85*'Цены на металл '!I$3*('Цены на металл '!I$4*1.3)+('Цены на металл '!I$5*('Цены на металл '!$S18+'Цены на металл '!$T18*2+6)/1000*7.85*'Цены на металл '!I$3)</f>
        <v>593.85563999999999</v>
      </c>
      <c r="K17" s="124">
        <f>('Цены на металл '!$S18+'Цены на металл '!$T18*2+6)/1000*7.85*'Цены на металл '!J$3*('Цены на металл '!J$4*1.3)+('Цены на металл '!J$5*('Цены на металл '!$S17+'Цены на металл '!$T17*2+6)/1000*7.85*'Цены на металл '!J$3)</f>
        <v>793.18912</v>
      </c>
      <c r="L17" s="140">
        <f>('Цены на металл '!$S18+'Цены на металл '!$T18*2+6)/1000*7.85*'Цены на металл '!K$3*1.8*'Цены на металл '!K$4</f>
        <v>850.51296000000013</v>
      </c>
      <c r="M17" s="140">
        <f>('Цены на металл '!$S18+'Цены на металл '!$T18*2+6)/1000*7.85*'Цены на металл '!L$3*1.8*'Цены на металл '!L$4</f>
        <v>1237.1097600000003</v>
      </c>
      <c r="N17" s="140">
        <f>('Цены на металл '!$S18+'Цены на металл '!$T18*2+6)/1000*7.85*'Цены на металл '!M$3*1.8*'Цены на металл '!M$4</f>
        <v>1546.3872000000001</v>
      </c>
      <c r="O17" s="140">
        <f>('Цены на металл '!$S18+'Цены на металл '!$T18*2+6)/1000*7.85*'Цены на металл '!N$3*1.8*'Цены на металл '!N$4</f>
        <v>1855.66464</v>
      </c>
      <c r="P17" s="140">
        <f>('Цены на металл '!$S18+'Цены на металл '!$T18*2+6)/1000*7.85*'Цены на металл '!O$3*1.8*'Цены на металл '!O$4</f>
        <v>2319.5808000000006</v>
      </c>
    </row>
    <row r="18" spans="1:16" ht="14.95" customHeight="1">
      <c r="A18" s="10" t="s">
        <v>1070</v>
      </c>
      <c r="B18" s="93">
        <f>('Цены на металл '!$S19+'Цены на металл '!$T19*2+6)/1000*7.85*'Цены на металл '!A$3*1.36*'Цены на металл '!A$4</f>
        <v>95.763720000000021</v>
      </c>
      <c r="C18" s="93">
        <f>('Цены на металл '!$S19+'Цены на металл '!$T19*2+6)/1000*7.85*'Цены на металл '!B$3*1.25*'Цены на металл '!B$4</f>
        <v>114.42356250000002</v>
      </c>
      <c r="D18" s="93">
        <f>('Цены на металл '!$S19+'Цены на металл '!$T19*2+6)/1000*7.85*'Цены на металл '!C$3*1.25*'Цены на металл '!C$4</f>
        <v>132.0271875</v>
      </c>
      <c r="E18" s="93">
        <f>('Цены на металл '!$S19+'Цены на металл '!$T19*2+6)/1000*7.85*'Цены на металл '!D$3*1.25*'Цены на металл '!D$4</f>
        <v>158.432625</v>
      </c>
      <c r="F18" s="93">
        <f>('Цены на металл '!$S19+'Цены на металл '!$T19*2+6)/1000*7.85*'Цены на металл '!E$3*1.25*'Цены на металл '!E$4</f>
        <v>193.63987500000002</v>
      </c>
      <c r="G18" s="93">
        <f>('Цены на металл '!$S19+'Цены на металл '!$T19*2+6)/1000*7.85*'Цены на металл '!F$3*1.25*'Цены на металл '!F$4</f>
        <v>246.45075</v>
      </c>
      <c r="H18" s="93">
        <f>('Цены на металл '!$S19+'Цены на металл '!$T19*2+6)/1000*7.85*'Цены на металл '!G$3*1.25*'Цены на металл '!G$4</f>
        <v>344.76022500000005</v>
      </c>
      <c r="I18" s="124">
        <f>('Цены на металл '!$S19+'Цены на металл '!$T19*2+6)/1000*7.85*'Цены на металл '!H$3*('Цены на металл '!H$4*1.3)+('Цены на металл '!H$5*('Цены на металл '!$S19+'Цены на металл '!$T19*2+6)/1000*7.85*'Цены на металл '!H$3)</f>
        <v>282.41631000000001</v>
      </c>
      <c r="J18" s="124">
        <f>('Цены на металл '!$S19+'Цены на металл '!$T19*2+6)/1000*7.85*'Цены на металл '!I$3*('Цены на металл '!I$4*1.3)+('Цены на металл '!I$5*('Цены на металл '!$S19+'Цены на металл '!$T19*2+6)/1000*7.85*'Цены на металл '!I$3)</f>
        <v>359.43894</v>
      </c>
      <c r="K18" s="124">
        <f>('Цены на металл '!$S19+'Цены на металл '!$T19*2+6)/1000*7.85*'Цены на металл '!J$3*('Цены на металл '!J$4*1.3)+('Цены на металл '!J$5*('Цены на металл '!$S18+'Цены на металл '!$T18*2+6)/1000*7.85*'Цены на металл '!J$3)</f>
        <v>657.57252000000005</v>
      </c>
      <c r="L18" s="140">
        <f>('Цены на металл '!$S19+'Цены на металл '!$T19*2+6)/1000*7.85*'Цены на металл '!K$3*1.8*'Цены на металл '!K$4</f>
        <v>514.78416000000016</v>
      </c>
      <c r="M18" s="140">
        <f>('Цены на металл '!$S19+'Цены на металл '!$T19*2+6)/1000*7.85*'Цены на металл '!L$3*1.8*'Цены на металл '!L$4</f>
        <v>748.77696000000026</v>
      </c>
      <c r="N18" s="140">
        <f>('Цены на металл '!$S19+'Цены на металл '!$T19*2+6)/1000*7.85*'Цены на металл '!M$3*1.8*'Цены на металл '!M$4</f>
        <v>935.97120000000007</v>
      </c>
      <c r="O18" s="140">
        <f>('Цены на металл '!$S19+'Цены на металл '!$T19*2+6)/1000*7.85*'Цены на металл '!N$3*1.8*'Цены на металл '!N$4</f>
        <v>1123.1654400000002</v>
      </c>
      <c r="P18" s="140">
        <f>('Цены на металл '!$S19+'Цены на металл '!$T19*2+6)/1000*7.85*'Цены на металл '!O$3*1.8*'Цены на металл '!O$4</f>
        <v>1403.9568000000002</v>
      </c>
    </row>
    <row r="19" spans="1:16">
      <c r="A19" s="10" t="s">
        <v>1071</v>
      </c>
      <c r="B19" s="93">
        <f>('Цены на металл '!$S20+'Цены на металл '!$T20*2+6)/1000*7.85*'Цены на металл '!A$3*1.36*'Цены на металл '!A$4</f>
        <v>106.17282</v>
      </c>
      <c r="C19" s="93">
        <f>('Цены на металл '!$S20+'Цены на металл '!$T20*2+6)/1000*7.85*'Цены на металл '!B$3*1.25*'Цены на металл '!B$4</f>
        <v>126.86090625</v>
      </c>
      <c r="D19" s="93">
        <f>('Цены на металл '!$S20+'Цены на металл '!$T20*2+6)/1000*7.85*'Цены на металл '!C$3*1.25*'Цены на металл '!C$4</f>
        <v>146.37796875000001</v>
      </c>
      <c r="E19" s="93">
        <f>('Цены на металл '!$S20+'Цены на металл '!$T20*2+6)/1000*7.85*'Цены на металл '!D$3*1.25*'Цены на металл '!D$4</f>
        <v>175.65356249999999</v>
      </c>
      <c r="F19" s="93">
        <f>('Цены на металл '!$S20+'Цены на металл '!$T20*2+6)/1000*7.85*'Цены на металл '!E$3*1.25*'Цены на металл '!E$4</f>
        <v>214.68768750000001</v>
      </c>
      <c r="G19" s="93">
        <f>('Цены на металл '!$S20+'Цены на металл '!$T20*2+6)/1000*7.85*'Цены на металл '!F$3*1.25*'Цены на металл '!F$4</f>
        <v>273.23887499999995</v>
      </c>
      <c r="H19" s="93">
        <f>('Цены на металл '!$S20+'Цены на металл '!$T20*2+6)/1000*7.85*'Цены на металл '!G$3*1.25*'Цены на металл '!G$4</f>
        <v>382.23416249999997</v>
      </c>
      <c r="I19" s="124">
        <f>('Цены на металл '!$S20+'Цены на металл '!$T20*2+6)/1000*7.85*'Цены на металл '!H$3*('Цены на металл '!H$4*1.3)+('Цены на металл '!H$5*('Цены на металл '!$S20+'Цены на металл '!$T20*2+6)/1000*7.85*'Цены на металл '!H$3)</f>
        <v>313.11373500000002</v>
      </c>
      <c r="J19" s="124">
        <f>('Цены на металл '!$S20+'Цены на металл '!$T20*2+6)/1000*7.85*'Цены на металл '!I$3*('Цены на металл '!I$4*1.3)+('Цены на металл '!I$5*('Цены на металл '!$S20+'Цены на металл '!$T20*2+6)/1000*7.85*'Цены на металл '!I$3)</f>
        <v>398.50838999999996</v>
      </c>
      <c r="K19" s="124">
        <f>('Цены на металл '!$S20+'Цены на металл '!$T20*2+6)/1000*7.85*'Цены на металл '!J$3*('Цены на металл '!J$4*1.3)+('Цены на металл '!J$5*('Цены на металл '!$S19+'Цены на металл '!$T19*2+6)/1000*7.85*'Цены на металл '!J$3)</f>
        <v>559.65161999999998</v>
      </c>
      <c r="L19" s="140">
        <f>('Цены на металл '!$S20+'Цены на металл '!$T20*2+6)/1000*7.85*'Цены на металл '!K$3*1.8*'Цены на металл '!K$4</f>
        <v>570.73896000000002</v>
      </c>
      <c r="M19" s="140">
        <f>('Цены на металл '!$S20+'Цены на металл '!$T20*2+6)/1000*7.85*'Цены на металл '!L$3*1.8*'Цены на металл '!L$4</f>
        <v>830.16576000000009</v>
      </c>
      <c r="N19" s="140">
        <f>('Цены на металл '!$S20+'Цены на металл '!$T20*2+6)/1000*7.85*'Цены на металл '!M$3*1.8*'Цены на металл '!M$4</f>
        <v>1037.7072000000001</v>
      </c>
      <c r="O19" s="140">
        <f>('Цены на металл '!$S20+'Цены на металл '!$T20*2+6)/1000*7.85*'Цены на металл '!N$3*1.8*'Цены на металл '!N$4</f>
        <v>1245.24864</v>
      </c>
      <c r="P19" s="140">
        <f>('Цены на металл '!$S20+'Цены на металл '!$T20*2+6)/1000*7.85*'Цены на металл '!O$3*1.8*'Цены на металл '!O$4</f>
        <v>1556.5608</v>
      </c>
    </row>
    <row r="20" spans="1:16">
      <c r="A20" s="10" t="s">
        <v>1072</v>
      </c>
      <c r="B20" s="93">
        <f>('Цены на металл '!$S21+'Цены на металл '!$T21*2+6)/1000*7.85*'Цены на металл '!A$3*1.36*'Цены на металл '!A$4</f>
        <v>113.11222000000001</v>
      </c>
      <c r="C20" s="93">
        <f>('Цены на металл '!$S21+'Цены на металл '!$T21*2+6)/1000*7.85*'Цены на металл '!B$3*1.25*'Цены на металл '!B$4</f>
        <v>135.15246875000003</v>
      </c>
      <c r="D20" s="93">
        <f>('Цены на металл '!$S21+'Цены на металл '!$T21*2+6)/1000*7.85*'Цены на металл '!C$3*1.25*'Цены на металл '!C$4</f>
        <v>155.94515625</v>
      </c>
      <c r="E20" s="93">
        <f>('Цены на металл '!$S21+'Цены на металл '!$T21*2+6)/1000*7.85*'Цены на металл '!D$3*1.25*'Цены на металл '!D$4</f>
        <v>187.1341875</v>
      </c>
      <c r="F20" s="93">
        <f>('Цены на металл '!$S21+'Цены на металл '!$T21*2+6)/1000*7.85*'Цены на металл '!E$3*1.25*'Цены на металл '!E$4</f>
        <v>228.71956250000002</v>
      </c>
      <c r="G20" s="93">
        <f>('Цены на металл '!$S21+'Цены на металл '!$T21*2+6)/1000*7.85*'Цены на металл '!F$3*1.25*'Цены на металл '!F$4</f>
        <v>291.09762499999999</v>
      </c>
      <c r="H20" s="93">
        <f>('Цены на металл '!$S21+'Цены на металл '!$T21*2+6)/1000*7.85*'Цены на металл '!G$3*1.25*'Цены на металл '!G$4</f>
        <v>407.21678750000001</v>
      </c>
      <c r="I20" s="124">
        <f>('Цены на металл '!$S21+'Цены на металл '!$T21*2+6)/1000*7.85*'Цены на металл '!H$3*('Цены на металл '!H$4*1.3)+('Цены на металл '!H$5*('Цены на металл '!$S21+'Цены на металл '!$T21*2+6)/1000*7.85*'Цены на металл '!H$3)</f>
        <v>333.57868499999995</v>
      </c>
      <c r="J20" s="124">
        <f>('Цены на металл '!$S21+'Цены на металл '!$T21*2+6)/1000*7.85*'Цены на металл '!I$3*('Цены на металл '!I$4*1.3)+('Цены на металл '!I$5*('Цены на металл '!$S21+'Цены на металл '!$T21*2+6)/1000*7.85*'Цены на металл '!I$3)</f>
        <v>424.55468999999994</v>
      </c>
      <c r="K20" s="124">
        <f>('Цены на металл '!$S21+'Цены на металл '!$T21*2+6)/1000*7.85*'Цены на металл '!J$3*('Цены на металл '!J$4*1.3)+('Цены на металл '!J$5*('Цены на металл '!$S20+'Цены на металл '!$T20*2+6)/1000*7.85*'Цены на металл '!J$3)</f>
        <v>605.05601999999999</v>
      </c>
      <c r="L20" s="140">
        <f>('Цены на металл '!$S21+'Цены на металл '!$T21*2+6)/1000*7.85*'Цены на металл '!K$3*1.8*'Цены на металл '!K$4</f>
        <v>608.04215999999997</v>
      </c>
      <c r="M20" s="140">
        <f>('Цены на металл '!$S21+'Цены на металл '!$T21*2+6)/1000*7.85*'Цены на металл '!L$3*1.8*'Цены на металл '!L$4</f>
        <v>884.42496000000006</v>
      </c>
      <c r="N20" s="140">
        <f>('Цены на металл '!$S21+'Цены на металл '!$T21*2+6)/1000*7.85*'Цены на металл '!M$3*1.8*'Цены на металл '!M$4</f>
        <v>1105.5311999999999</v>
      </c>
      <c r="O20" s="140">
        <f>('Цены на металл '!$S21+'Цены на металл '!$T21*2+6)/1000*7.85*'Цены на металл '!N$3*1.8*'Цены на металл '!N$4</f>
        <v>1326.63744</v>
      </c>
      <c r="P20" s="140">
        <f>('Цены на металл '!$S21+'Цены на металл '!$T21*2+6)/1000*7.85*'Цены на металл '!O$3*1.8*'Цены на металл '!O$4</f>
        <v>1658.2967999999998</v>
      </c>
    </row>
    <row r="21" spans="1:16">
      <c r="A21" s="10" t="s">
        <v>1073</v>
      </c>
      <c r="B21" s="93">
        <f>('Цены на металл '!$S22+'Цены на металл '!$T22*2+6)/1000*7.85*'Цены на металл '!A$3*1.36*'Цены на металл '!A$4</f>
        <v>116.58192</v>
      </c>
      <c r="C21" s="93">
        <f>('Цены на металл '!$S22+'Цены на металл '!$T22*2+6)/1000*7.85*'Цены на металл '!B$3*1.25*'Цены на металл '!B$4</f>
        <v>139.29825</v>
      </c>
      <c r="D21" s="93">
        <f>('Цены на металл '!$S22+'Цены на металл '!$T22*2+6)/1000*7.85*'Цены на металл '!C$3*1.25*'Цены на металл '!C$4</f>
        <v>160.72874999999999</v>
      </c>
      <c r="E21" s="93">
        <f>('Цены на металл '!$S22+'Цены на металл '!$T22*2+6)/1000*7.85*'Цены на металл '!D$3*1.25*'Цены на металл '!D$4</f>
        <v>192.87449999999998</v>
      </c>
      <c r="F21" s="93">
        <f>('Цены на металл '!$S22+'Цены на металл '!$T22*2+6)/1000*7.85*'Цены на металл '!E$3*1.25*'Цены на металл '!E$4</f>
        <v>235.73550000000003</v>
      </c>
      <c r="G21" s="93">
        <f>('Цены на металл '!$S22+'Цены на металл '!$T22*2+6)/1000*7.85*'Цены на металл '!F$3*1.25*'Цены на металл '!F$4</f>
        <v>300.02699999999993</v>
      </c>
      <c r="H21" s="93">
        <f>('Цены на металл '!$S22+'Цены на металл '!$T22*2+6)/1000*7.85*'Цены на металл '!G$3*1.25*'Цены на металл '!G$4</f>
        <v>419.70809999999994</v>
      </c>
      <c r="I21" s="124">
        <f>('Цены на металл '!$S22+'Цены на металл '!$T22*2+6)/1000*7.85*'Цены на металл '!H$3*('Цены на металл '!H$4*1.3)+('Цены на металл '!H$5*('Цены на металл '!$S22+'Цены на металл '!$T22*2+6)/1000*7.85*'Цены на металл '!H$3)</f>
        <v>343.81116000000003</v>
      </c>
      <c r="J21" s="124">
        <f>('Цены на металл '!$S22+'Цены на металл '!$T22*2+6)/1000*7.85*'Цены на металл '!I$3*('Цены на металл '!I$4*1.3)+('Цены на металл '!I$5*('Цены на металл '!$S22+'Цены на металл '!$T22*2+6)/1000*7.85*'Цены на металл '!I$3)</f>
        <v>437.57783999999992</v>
      </c>
      <c r="K21" s="124">
        <f>('Цены на металл '!$S22+'Цены на металл '!$T22*2+6)/1000*7.85*'Цены на металл '!J$3*('Цены на металл '!J$4*1.3)+('Цены на металл '!J$5*('Цены на металл '!$S21+'Цены на металл '!$T21*2+6)/1000*7.85*'Цены на металл '!J$3)</f>
        <v>631.44772</v>
      </c>
      <c r="L21" s="140">
        <f>('Цены на металл '!$S22+'Цены на металл '!$T22*2+6)/1000*7.85*'Цены на металл '!K$3*1.8*'Цены на металл '!K$4</f>
        <v>626.69376000000011</v>
      </c>
      <c r="M21" s="140">
        <f>('Цены на металл '!$S22+'Цены на металл '!$T22*2+6)/1000*7.85*'Цены на металл '!L$3*1.8*'Цены на металл '!L$4</f>
        <v>911.55456000000004</v>
      </c>
      <c r="N21" s="140">
        <f>('Цены на металл '!$S22+'Цены на металл '!$T22*2+6)/1000*7.85*'Цены на металл '!M$3*1.8*'Цены на металл '!M$4</f>
        <v>1139.4431999999999</v>
      </c>
      <c r="O21" s="140">
        <f>('Цены на металл '!$S22+'Цены на металл '!$T22*2+6)/1000*7.85*'Цены на металл '!N$3*1.8*'Цены на металл '!N$4</f>
        <v>1367.3318400000001</v>
      </c>
      <c r="P21" s="140">
        <f>('Цены на металл '!$S22+'Цены на металл '!$T22*2+6)/1000*7.85*'Цены на металл '!O$3*1.8*'Цены на металл '!O$4</f>
        <v>1709.1648</v>
      </c>
    </row>
    <row r="22" spans="1:16">
      <c r="A22" s="10" t="s">
        <v>1074</v>
      </c>
      <c r="B22" s="93">
        <f>('Цены на металл '!$S23+'Цены на металл '!$T23*2+6)/1000*7.85*'Цены на металл '!A$3*1.36*'Цены на металл '!A$4</f>
        <v>126.99102000000002</v>
      </c>
      <c r="C22" s="93">
        <f>('Цены на металл '!$S23+'Цены на металл '!$T23*2+6)/1000*7.85*'Цены на металл '!B$3*1.25*'Цены на металл '!B$4</f>
        <v>151.73559375000002</v>
      </c>
      <c r="D22" s="93">
        <f>('Цены на металл '!$S23+'Цены на металл '!$T23*2+6)/1000*7.85*'Цены на металл '!C$3*1.25*'Цены на металл '!C$4</f>
        <v>175.07953124999997</v>
      </c>
      <c r="E22" s="93">
        <f>('Цены на металл '!$S23+'Цены на металл '!$T23*2+6)/1000*7.85*'Цены на металл '!D$3*1.25*'Цены на металл '!D$4</f>
        <v>210.0954375</v>
      </c>
      <c r="F22" s="93">
        <f>('Цены на металл '!$S23+'Цены на металл '!$T23*2+6)/1000*7.85*'Цены на металл '!E$3*1.25*'Цены на металл '!E$4</f>
        <v>256.78331250000002</v>
      </c>
      <c r="G22" s="93">
        <f>('Цены на металл '!$S23+'Цены на металл '!$T23*2+6)/1000*7.85*'Цены на металл '!F$3*1.25*'Цены на металл '!F$4</f>
        <v>326.81512499999997</v>
      </c>
      <c r="H22" s="93">
        <f>('Цены на металл '!$S23+'Цены на металл '!$T23*2+6)/1000*7.85*'Цены на металл '!G$3*1.25*'Цены на металл '!G$4</f>
        <v>457.18203749999998</v>
      </c>
      <c r="I22" s="124">
        <f>('Цены на металл '!$S23+'Цены на металл '!$T23*2+6)/1000*7.85*'Цены на металл '!H$3*('Цены на металл '!H$4*1.3)+('Цены на металл '!H$5*('Цены на металл '!$S23+'Цены на металл '!$T23*2+6)/1000*7.85*'Цены на металл '!H$3)</f>
        <v>374.50858500000004</v>
      </c>
      <c r="J22" s="124">
        <f>('Цены на металл '!$S23+'Цены на металл '!$T23*2+6)/1000*7.85*'Цены на металл '!I$3*('Цены на металл '!I$4*1.3)+('Цены на металл '!I$5*('Цены на металл '!$S23+'Цены на металл '!$T23*2+6)/1000*7.85*'Цены на металл '!I$3)</f>
        <v>476.64729</v>
      </c>
      <c r="K22" s="124">
        <f>('Цены на металл '!$S23+'Цены на металл '!$T23*2+6)/1000*7.85*'Цены на металл '!J$3*('Цены на металл '!J$4*1.3)+('Цены на металл '!J$5*('Цены на металл '!$S22+'Цены на металл '!$T22*2+6)/1000*7.85*'Цены на металл '!J$3)</f>
        <v>673.72782000000007</v>
      </c>
      <c r="L22" s="140">
        <f>('Цены на металл '!$S23+'Цены на металл '!$T23*2+6)/1000*7.85*'Цены на металл '!K$3*1.8*'Цены на металл '!K$4</f>
        <v>682.64856000000009</v>
      </c>
      <c r="M22" s="140">
        <f>('Цены на металл '!$S23+'Цены на металл '!$T23*2+6)/1000*7.85*'Цены на металл '!L$3*1.8*'Цены на металл '!L$4</f>
        <v>992.94335999999998</v>
      </c>
      <c r="N22" s="140">
        <f>('Цены на металл '!$S23+'Цены на металл '!$T23*2+6)/1000*7.85*'Цены на металл '!M$3*1.8*'Цены на металл '!M$4</f>
        <v>1241.1792</v>
      </c>
      <c r="O22" s="140">
        <f>('Цены на металл '!$S23+'Цены на металл '!$T23*2+6)/1000*7.85*'Цены на металл '!N$3*1.8*'Цены на металл '!N$4</f>
        <v>1489.4150400000001</v>
      </c>
      <c r="P22" s="140">
        <f>('Цены на металл '!$S23+'Цены на металл '!$T23*2+6)/1000*7.85*'Цены на металл '!O$3*1.8*'Цены на металл '!O$4</f>
        <v>1861.7687999999998</v>
      </c>
    </row>
    <row r="23" spans="1:16">
      <c r="A23" s="10" t="s">
        <v>1075</v>
      </c>
      <c r="B23" s="93">
        <f>('Цены на металл '!$S24+'Цены на металл '!$T24*2+6)/1000*7.85*'Цены на металл '!A$3*1.36*'Цены на металл '!A$4</f>
        <v>140.86982</v>
      </c>
      <c r="C23" s="93">
        <f>('Цены на металл '!$S24+'Цены на металл '!$T24*2+6)/1000*7.85*'Цены на металл '!B$3*1.25*'Цены на металл '!B$4</f>
        <v>168.31871874999999</v>
      </c>
      <c r="D23" s="93">
        <f>('Цены на металл '!$S24+'Цены на металл '!$T24*2+6)/1000*7.85*'Цены на металл '!C$3*1.25*'Цены на металл '!C$4</f>
        <v>194.21390625000001</v>
      </c>
      <c r="E23" s="93">
        <f>('Цены на металл '!$S24+'Цены на металл '!$T24*2+6)/1000*7.85*'Цены на металл '!D$3*1.25*'Цены на металл '!D$4</f>
        <v>233.05668750000001</v>
      </c>
      <c r="F23" s="93">
        <f>('Цены на металл '!$S24+'Цены на металл '!$T24*2+6)/1000*7.85*'Цены на металл '!E$3*1.25*'Цены на металл '!E$4</f>
        <v>284.84706250000005</v>
      </c>
      <c r="G23" s="93">
        <f>('Цены на металл '!$S24+'Цены на металл '!$T24*2+6)/1000*7.85*'Цены на металл '!F$3*1.25*'Цены на металл '!F$4</f>
        <v>362.53262499999994</v>
      </c>
      <c r="H23" s="93">
        <f>('Цены на металл '!$S24+'Цены на металл '!$T24*2+6)/1000*7.85*'Цены на металл '!G$3*1.25*'Цены на металл '!G$4</f>
        <v>507.14728749999995</v>
      </c>
      <c r="I23" s="124">
        <f>('Цены на металл '!$S24+'Цены на металл '!$T24*2+6)/1000*7.85*'Цены на металл '!H$3*('Цены на металл '!H$4*1.3)+('Цены на металл '!H$5*('Цены на металл '!$S24+'Цены на металл '!$T24*2+6)/1000*7.85*'Цены на металл '!H$3)</f>
        <v>415.43848500000001</v>
      </c>
      <c r="J23" s="124">
        <f>('Цены на металл '!$S24+'Цены на металл '!$T24*2+6)/1000*7.85*'Цены на металл '!I$3*('Цены на металл '!I$4*1.3)+('Цены на металл '!I$5*('Цены на металл '!$S24+'Цены на металл '!$T24*2+6)/1000*7.85*'Цены на металл '!I$3)</f>
        <v>528.73988999999995</v>
      </c>
      <c r="K23" s="124">
        <f>('Цены на металл '!$S24+'Цены на металл '!$T24*2+6)/1000*7.85*'Цены на металл '!J$3*('Цены на металл '!J$4*1.3)+('Цены на металл '!J$5*('Цены на металл '!$S23+'Цены на металл '!$T23*2+6)/1000*7.85*'Цены на металл '!J$3)</f>
        <v>742.39962000000014</v>
      </c>
      <c r="L23" s="140">
        <f>('Цены на металл '!$S24+'Цены на металл '!$T24*2+6)/1000*7.85*'Цены на металл '!K$3*1.8*'Цены на металл '!K$4</f>
        <v>757.2549600000001</v>
      </c>
      <c r="M23" s="140">
        <f>('Цены на металл '!$S24+'Цены на металл '!$T24*2+6)/1000*7.85*'Цены на металл '!L$3*1.8*'Цены на металл '!L$4</f>
        <v>1101.4617600000001</v>
      </c>
      <c r="N23" s="140">
        <f>('Цены на металл '!$S24+'Цены на металл '!$T24*2+6)/1000*7.85*'Цены на металл '!M$3*1.8*'Цены на металл '!M$4</f>
        <v>1376.8272000000002</v>
      </c>
      <c r="O23" s="140">
        <f>('Цены на металл '!$S24+'Цены на металл '!$T24*2+6)/1000*7.85*'Цены на металл '!N$3*1.8*'Цены на металл '!N$4</f>
        <v>1652.19264</v>
      </c>
      <c r="P23" s="140">
        <f>('Цены на металл '!$S24+'Цены на металл '!$T24*2+6)/1000*7.85*'Цены на металл '!O$3*1.8*'Цены на металл '!O$4</f>
        <v>2065.2408</v>
      </c>
    </row>
    <row r="24" spans="1:16">
      <c r="A24" s="10" t="s">
        <v>1076</v>
      </c>
      <c r="B24" s="816"/>
      <c r="C24" s="93">
        <f>('Цены на металл '!$S25+'Цены на металл '!$T25*2+6)/1000*7.85*'Цены на металл '!B$3*1.25*'Цены на металл '!B$4</f>
        <v>209.77653125000001</v>
      </c>
      <c r="D24" s="93">
        <f>('Цены на металл '!$S25+'Цены на металл '!$T25*2+6)/1000*7.85*'Цены на металл '!C$3*1.25*'Цены на металл '!C$4</f>
        <v>242.04984374999998</v>
      </c>
      <c r="E24" s="93">
        <f>('Цены на металл '!$S25+'Цены на металл '!$T25*2+6)/1000*7.85*'Цены на металл '!D$3*1.25*'Цены на металл '!D$4</f>
        <v>290.4598125</v>
      </c>
      <c r="F24" s="93">
        <f>('Цены на металл '!$S25+'Цены на металл '!$T25*2+6)/1000*7.85*'Цены на металл '!E$3*1.25*'Цены на металл '!E$4</f>
        <v>355.0064375</v>
      </c>
      <c r="G24" s="93">
        <f>('Цены на металл '!$S25+'Цены на металл '!$T25*2+6)/1000*7.85*'Цены на металл '!F$3*1.25*'Цены на металл '!F$4</f>
        <v>451.82637499999993</v>
      </c>
      <c r="H24" s="93">
        <f>('Цены на металл '!$S25+'Цены на металл '!$T25*2+6)/1000*7.85*'Цены на металл '!G$3*1.25*'Цены на металл '!G$4</f>
        <v>632.06041249999998</v>
      </c>
      <c r="I24" s="124">
        <f>('Цены на металл '!$S25+'Цены на металл '!$T25*2+6)/1000*7.85*'Цены на металл '!H$3*('Цены на металл '!H$4*1.3)+('Цены на металл '!H$5*('Цены на металл '!$S25+'Цены на металл '!$T25*2+6)/1000*7.85*'Цены на металл '!H$3)</f>
        <v>517.76323500000012</v>
      </c>
      <c r="J24" s="124">
        <f>('Цены на металл '!$S25+'Цены на металл '!$T25*2+6)/1000*7.85*'Цены на металл '!I$3*('Цены на металл '!I$4*1.3)+('Цены на металл '!I$5*('Цены на металл '!$S25+'Цены на металл '!$T25*2+6)/1000*7.85*'Цены на металл '!I$3)</f>
        <v>658.97138999999993</v>
      </c>
      <c r="K24" s="124">
        <f>('Цены на металл '!$S25+'Цены на металл '!$T25*2+6)/1000*7.85*'Цены на металл '!J$3*('Цены на металл '!J$4*1.3)+('Цены на металл '!J$5*('Цены на металл '!$S24+'Цены на металл '!$T24*2+6)/1000*7.85*'Цены на металл '!J$3)</f>
        <v>888.25261999999998</v>
      </c>
      <c r="L24" s="140">
        <f>('Цены на металл '!$S25+'Цены на металл '!$T25*2+6)/1000*7.85*'Цены на металл '!K$3*1.8*'Цены на металл '!K$4</f>
        <v>943.77096000000017</v>
      </c>
      <c r="M24" s="140">
        <f>('Цены на металл '!$S25+'Цены на металл '!$T25*2+6)/1000*7.85*'Цены на металл '!L$3*1.8*'Цены на металл '!L$4</f>
        <v>1372.75776</v>
      </c>
      <c r="N24" s="140">
        <f>('Цены на металл '!$S25+'Цены на металл '!$T25*2+6)/1000*7.85*'Цены на металл '!M$3*1.8*'Цены на металл '!M$4</f>
        <v>1715.9472000000001</v>
      </c>
      <c r="O24" s="140">
        <f>('Цены на металл '!$S25+'Цены на металл '!$T25*2+6)/1000*7.85*'Цены на металл '!N$3*1.8*'Цены на металл '!N$4</f>
        <v>2059.1366400000002</v>
      </c>
      <c r="P24" s="140">
        <f>('Цены на металл '!$S25+'Цены на металл '!$T25*2+6)/1000*7.85*'Цены на металл '!O$3*1.8*'Цены на металл '!O$4</f>
        <v>2573.9207999999999</v>
      </c>
    </row>
    <row r="25" spans="1:16">
      <c r="A25" s="10" t="s">
        <v>1077</v>
      </c>
      <c r="B25" s="817"/>
      <c r="C25" s="93">
        <f>('Цены на металл '!$S26+'Цены на металл '!$T26*2+6)/1000*7.85*'Цены на металл '!B$3*1.25*'Цены на металл '!B$4</f>
        <v>251.23434374999997</v>
      </c>
      <c r="D25" s="93">
        <f>('Цены на металл '!$S26+'Цены на металл '!$T26*2+6)/1000*7.85*'Цены на металл '!C$3*1.25*'Цены на металл '!C$4</f>
        <v>289.88578124999998</v>
      </c>
      <c r="E25" s="93">
        <f>('Цены на металл '!$S26+'Цены на металл '!$T26*2+6)/1000*7.85*'Цены на металл '!D$3*1.25*'Цены на металл '!D$4</f>
        <v>347.86293750000004</v>
      </c>
      <c r="F25" s="93">
        <f>('Цены на металл '!$S26+'Цены на металл '!$T26*2+6)/1000*7.85*'Цены на металл '!E$3*1.25*'Цены на металл '!E$4</f>
        <v>425.16581250000002</v>
      </c>
      <c r="G25" s="93">
        <f>('Цены на металл '!$S26+'Цены на металл '!$T26*2+6)/1000*7.85*'Цены на металл '!F$3*1.25*'Цены на металл '!F$4</f>
        <v>541.12012499999992</v>
      </c>
      <c r="H25" s="93">
        <f>('Цены на металл '!$S26+'Цены на металл '!$T26*2+6)/1000*7.85*'Цены на металл '!G$3*1.25*'Цены на металл '!G$4</f>
        <v>756.97353749999979</v>
      </c>
      <c r="I25" s="124">
        <f>('Цены на металл '!$S26+'Цены на металл '!$T26*2+6)/1000*7.85*'Цены на металл '!H$3*('Цены на металл '!H$4*1.3)+('Цены на металл '!H$5*('Цены на металл '!$S26+'Цены на металл '!$T26*2+6)/1000*7.85*'Цены на металл '!H$3)</f>
        <v>620.087985</v>
      </c>
      <c r="J25" s="124">
        <f>('Цены на металл '!$S26+'Цены на металл '!$T26*2+6)/1000*7.85*'Цены на металл '!I$3*('Цены на металл '!I$4*1.3)+('Цены на металл '!I$5*('Цены на металл '!$S26+'Цены на металл '!$T26*2+6)/1000*7.85*'Цены на металл '!I$3)</f>
        <v>789.20288999999991</v>
      </c>
      <c r="K25" s="124">
        <f>('Цены на металл '!$S26+'Цены на металл '!$T26*2+6)/1000*7.85*'Цены на металл '!J$3*('Цены на металл '!J$4*1.3)+('Цены на металл '!J$5*('Цены на металл '!$S25+'Цены на металл '!$T25*2+6)/1000*7.85*'Цены на металл '!J$3)</f>
        <v>1078.3796199999999</v>
      </c>
      <c r="L25" s="140">
        <f>('Цены на металл '!$S26+'Цены на металл '!$T26*2+6)/1000*7.85*'Цены на металл '!K$3*1.8*'Цены на металл '!K$4</f>
        <v>1130.2869599999999</v>
      </c>
      <c r="M25" s="140">
        <f>('Цены на металл '!$S26+'Цены на металл '!$T26*2+6)/1000*7.85*'Цены на металл '!L$3*1.8*'Цены на металл '!L$4</f>
        <v>1644.05376</v>
      </c>
      <c r="N25" s="140">
        <f>('Цены на металл '!$S26+'Цены на металл '!$T26*2+6)/1000*7.85*'Цены на металл '!M$3*1.8*'Цены на металл '!M$4</f>
        <v>2055.0672</v>
      </c>
      <c r="O25" s="140">
        <f>('Цены на металл '!$S26+'Цены на металл '!$T26*2+6)/1000*7.85*'Цены на металл '!N$3*1.8*'Цены на металл '!N$4</f>
        <v>2466.0806399999997</v>
      </c>
      <c r="P25" s="140">
        <f>('Цены на металл '!$S26+'Цены на металл '!$T26*2+6)/1000*7.85*'Цены на металл '!O$3*1.8*'Цены на металл '!O$4</f>
        <v>3082.6007999999997</v>
      </c>
    </row>
    <row r="26" spans="1:16">
      <c r="A26" s="10" t="s">
        <v>1078</v>
      </c>
      <c r="B26" s="817"/>
      <c r="C26" s="93">
        <f>('Цены на металл '!$S27+'Цены на металл '!$T27*2+6)/1000*7.85*'Цены на металл '!B$3*1.25*'Цены на металл '!B$4</f>
        <v>147.58981249999997</v>
      </c>
      <c r="D26" s="93">
        <f>('Цены на металл '!$S27+'Цены на металл '!$T27*2+6)/1000*7.85*'Цены на металл '!C$3*1.25*'Цены на металл '!C$4</f>
        <v>170.29593749999998</v>
      </c>
      <c r="E26" s="93">
        <f>('Цены на металл '!$S27+'Цены на металл '!$T27*2+6)/1000*7.85*'Цены на металл '!D$3*1.25*'Цены на металл '!D$4</f>
        <v>204.35512499999996</v>
      </c>
      <c r="F26" s="93">
        <f>('Цены на металл '!$S27+'Цены на металл '!$T27*2+6)/1000*7.85*'Цены на металл '!E$3*1.25*'Цены на металл '!E$4</f>
        <v>249.76737499999999</v>
      </c>
      <c r="G26" s="93">
        <f>('Цены на металл '!$S27+'Цены на металл '!$T27*2+6)/1000*7.85*'Цены на металл '!F$3*1.25*'Цены на металл '!F$4</f>
        <v>317.88574999999997</v>
      </c>
      <c r="H26" s="93">
        <f>('Цены на металл '!$S27+'Цены на металл '!$T27*2+6)/1000*7.85*'Цены на металл '!G$3*1.25*'Цены на металл '!G$4</f>
        <v>444.69072499999987</v>
      </c>
      <c r="I26" s="124">
        <f>('Цены на металл '!$S27+'Цены на металл '!$T27*2+6)/1000*7.85*'Цены на металл '!H$3*('Цены на металл '!H$4*1.3)+('Цены на металл '!H$5*('Цены на металл '!$S27+'Цены на металл '!$T27*2+6)/1000*7.85*'Цены на металл '!H$3)</f>
        <v>364.27611000000002</v>
      </c>
      <c r="J26" s="124">
        <f>('Цены на металл '!$S27+'Цены на металл '!$T27*2+6)/1000*7.85*'Цены на металл '!I$3*('Цены на металл '!I$4*1.3)+('Цены на металл '!I$5*('Цены на металл '!$S27+'Цены на металл '!$T27*2+6)/1000*7.85*'Цены на металл '!I$3)</f>
        <v>463.6241399999999</v>
      </c>
      <c r="K26" s="124">
        <f>('Цены на металл '!$S27+'Цены на металл '!$T27*2+6)/1000*7.85*'Цены на металл '!J$3*('Цены на металл '!J$4*1.3)+('Цены на металл '!J$5*('Цены на металл '!$S26+'Цены на металл '!$T26*2+6)/1000*7.85*'Цены на металл '!J$3)</f>
        <v>861.32711999999992</v>
      </c>
      <c r="L26" s="140">
        <f>('Цены на металл '!$S27+'Цены на металл '!$T27*2+6)/1000*7.85*'Цены на металл '!K$3*1.8*'Цены на металл '!K$4</f>
        <v>663.99695999999994</v>
      </c>
      <c r="M26" s="140">
        <f>('Цены на металл '!$S27+'Цены на металл '!$T27*2+6)/1000*7.85*'Цены на металл '!L$3*1.8*'Цены на металл '!L$4</f>
        <v>965.81376</v>
      </c>
      <c r="N26" s="140">
        <f>('Цены на металл '!$S27+'Цены на металл '!$T27*2+6)/1000*7.85*'Цены на металл '!M$3*1.8*'Цены на металл '!M$4</f>
        <v>1207.2671999999998</v>
      </c>
      <c r="O26" s="140">
        <f>('Цены на металл '!$S27+'Цены на металл '!$T27*2+6)/1000*7.85*'Цены на металл '!N$3*1.8*'Цены на металл '!N$4</f>
        <v>1448.7206399999995</v>
      </c>
      <c r="P26" s="140">
        <f>('Цены на металл '!$S27+'Цены на металл '!$T27*2+6)/1000*7.85*'Цены на металл '!O$3*1.8*'Цены на металл '!O$4</f>
        <v>1810.9007999999999</v>
      </c>
    </row>
    <row r="27" spans="1:16">
      <c r="A27" s="10" t="s">
        <v>1079</v>
      </c>
      <c r="B27" s="817"/>
      <c r="C27" s="93">
        <f>('Цены на металл '!$S28+'Цены на металл '!$T28*2+6)/1000*7.85*'Цены на металл '!B$3*1.25*'Цены на металл '!B$4</f>
        <v>172.46449999999999</v>
      </c>
      <c r="D27" s="93">
        <f>('Цены на металл '!$S28+'Цены на металл '!$T28*2+6)/1000*7.85*'Цены на металл '!C$3*1.25*'Цены на металл '!C$4</f>
        <v>198.99749999999997</v>
      </c>
      <c r="E27" s="93">
        <f>('Цены на металл '!$S28+'Цены на металл '!$T28*2+6)/1000*7.85*'Цены на металл '!D$3*1.25*'Цены на металл '!D$4</f>
        <v>238.797</v>
      </c>
      <c r="F27" s="93">
        <f>('Цены на металл '!$S28+'Цены на металл '!$T28*2+6)/1000*7.85*'Цены на металл '!E$3*1.25*'Цены на металл '!E$4</f>
        <v>291.863</v>
      </c>
      <c r="G27" s="93">
        <f>('Цены на металл '!$S28+'Цены на металл '!$T28*2+6)/1000*7.85*'Цены на металл '!F$3*1.25*'Цены на металл '!F$4</f>
        <v>371.46199999999993</v>
      </c>
      <c r="H27" s="93">
        <f>('Цены на металл '!$S28+'Цены на металл '!$T28*2+6)/1000*7.85*'Цены на металл '!G$3*1.25*'Цены на металл '!G$4</f>
        <v>519.63859999999988</v>
      </c>
      <c r="I27" s="124">
        <f>('Цены на металл '!$S28+'Цены на металл '!$T28*2+6)/1000*7.85*'Цены на металл '!H$3*('Цены на металл '!H$4*1.3)+('Цены на металл '!H$5*('Цены на металл '!$S28+'Цены на металл '!$T28*2+6)/1000*7.85*'Цены на металл '!H$3)</f>
        <v>425.67095999999992</v>
      </c>
      <c r="J27" s="124">
        <f>('Цены на металл '!$S28+'Цены на металл '!$T28*2+6)/1000*7.85*'Цены на металл '!I$3*('Цены на металл '!I$4*1.3)+('Цены на металл '!I$5*('Цены на металл '!$S28+'Цены на металл '!$T28*2+6)/1000*7.85*'Цены на металл '!I$3)</f>
        <v>541.76303999999982</v>
      </c>
      <c r="K27" s="124">
        <f>('Цены на металл '!$S28+'Цены на металл '!$T28*2+6)/1000*7.85*'Цены на металл '!J$3*('Цены на металл '!J$4*1.3)+('Цены на металл '!J$5*('Цены на металл '!$S27+'Цены на металл '!$T27*2+6)/1000*7.85*'Цены на металл '!J$3)</f>
        <v>746.65431999999998</v>
      </c>
      <c r="L27" s="140">
        <f>('Цены на металл '!$S28+'Цены на металл '!$T28*2+6)/1000*7.85*'Цены на металл '!K$3*1.8*'Цены на металл '!K$4</f>
        <v>775.9065599999999</v>
      </c>
      <c r="M27" s="140">
        <f>('Цены на металл '!$S28+'Цены на металл '!$T28*2+6)/1000*7.85*'Цены на металл '!L$3*1.8*'Цены на металл '!L$4</f>
        <v>1128.5913599999999</v>
      </c>
      <c r="N27" s="140">
        <f>('Цены на металл '!$S28+'Цены на металл '!$T28*2+6)/1000*7.85*'Цены на металл '!M$3*1.8*'Цены на металл '!M$4</f>
        <v>1410.7392</v>
      </c>
      <c r="O27" s="140">
        <f>('Цены на металл '!$S28+'Цены на металл '!$T28*2+6)/1000*7.85*'Цены на металл '!N$3*1.8*'Цены на металл '!N$4</f>
        <v>1692.8870399999998</v>
      </c>
      <c r="P27" s="140">
        <f>('Цены на металл '!$S28+'Цены на металл '!$T28*2+6)/1000*7.85*'Цены на металл '!O$3*1.8*'Цены на металл '!O$4</f>
        <v>2116.1088</v>
      </c>
    </row>
    <row r="28" spans="1:16">
      <c r="A28" s="10" t="s">
        <v>1080</v>
      </c>
      <c r="B28" s="817"/>
      <c r="C28" s="93">
        <f>('Цены на металл '!$S29+'Цены на металл '!$T29*2+6)/1000*7.85*'Цены на металл '!B$3*1.25*'Цены на металл '!B$4</f>
        <v>189.04762500000001</v>
      </c>
      <c r="D28" s="93">
        <f>('Цены на металл '!$S29+'Цены на металл '!$T29*2+6)/1000*7.85*'Цены на металл '!C$3*1.25*'Цены на металл '!C$4</f>
        <v>218.13187500000001</v>
      </c>
      <c r="E28" s="93">
        <f>('Цены на металл '!$S29+'Цены на металл '!$T29*2+6)/1000*7.85*'Цены на металл '!D$3*1.25*'Цены на металл '!D$4</f>
        <v>261.75824999999998</v>
      </c>
      <c r="F28" s="93">
        <f>('Цены на металл '!$S29+'Цены на металл '!$T29*2+6)/1000*7.85*'Цены на металл '!E$3*1.25*'Цены на металл '!E$4</f>
        <v>319.92675000000003</v>
      </c>
      <c r="G28" s="93">
        <f>('Цены на металл '!$S29+'Цены на металл '!$T29*2+6)/1000*7.85*'Цены на металл '!F$3*1.25*'Цены на металл '!F$4</f>
        <v>407.17949999999996</v>
      </c>
      <c r="H28" s="93">
        <f>('Цены на металл '!$S29+'Цены на металл '!$T29*2+6)/1000*7.85*'Цены на металл '!G$3*1.25*'Цены на металл '!G$4</f>
        <v>569.60384999999997</v>
      </c>
      <c r="I28" s="124">
        <f>('Цены на металл '!$S29+'Цены на металл '!$T29*2+6)/1000*7.85*'Цены на металл '!H$3*('Цены на металл '!H$4*1.3)+('Цены на металл '!H$5*('Цены на металл '!$S29+'Цены на металл '!$T29*2+6)/1000*7.85*'Цены на металл '!H$3)</f>
        <v>466.60086000000001</v>
      </c>
      <c r="J28" s="124">
        <f>('Цены на металл '!$S29+'Цены на металл '!$T29*2+6)/1000*7.85*'Цены на металл '!I$3*('Цены на металл '!I$4*1.3)+('Цены на металл '!I$5*('Цены на металл '!$S29+'Цены на металл '!$T29*2+6)/1000*7.85*'Цены на металл '!I$3)</f>
        <v>593.85563999999999</v>
      </c>
      <c r="K28" s="124">
        <f>('Цены на металл '!$S29+'Цены на металл '!$T29*2+6)/1000*7.85*'Цены на металл '!J$3*('Цены на металл '!J$4*1.3)+('Цены на металл '!J$5*('Цены на металл '!$S28+'Цены на металл '!$T28*2+6)/1000*7.85*'Цены на металл '!J$3)</f>
        <v>837.46312000000012</v>
      </c>
      <c r="L28" s="140">
        <f>('Цены на металл '!$S29+'Цены на металл '!$T29*2+6)/1000*7.85*'Цены на металл '!K$3*1.8*'Цены на металл '!K$4</f>
        <v>850.51296000000013</v>
      </c>
      <c r="M28" s="140">
        <f>('Цены на металл '!$S29+'Цены на металл '!$T29*2+6)/1000*7.85*'Цены на металл '!L$3*1.8*'Цены на металл '!L$4</f>
        <v>1237.1097600000003</v>
      </c>
      <c r="N28" s="140">
        <f>('Цены на металл '!$S29+'Цены на металл '!$T29*2+6)/1000*7.85*'Цены на металл '!M$3*1.8*'Цены на металл '!M$4</f>
        <v>1546.3872000000001</v>
      </c>
      <c r="O28" s="140">
        <f>('Цены на металл '!$S29+'Цены на металл '!$T29*2+6)/1000*7.85*'Цены на металл '!N$3*1.8*'Цены на металл '!N$4</f>
        <v>1855.66464</v>
      </c>
      <c r="P28" s="140">
        <f>('Цены на металл '!$S29+'Цены на металл '!$T29*2+6)/1000*7.85*'Цены на металл '!O$3*1.8*'Цены на металл '!O$4</f>
        <v>2319.5808000000006</v>
      </c>
    </row>
    <row r="29" spans="1:16">
      <c r="A29" s="10" t="s">
        <v>1081</v>
      </c>
      <c r="B29" s="817"/>
      <c r="C29" s="93">
        <f>('Цены на металл '!$S30+'Цены на металл '!$T30*2+6)/1000*7.85*'Цены на металл '!B$3*1.25*'Цены на металл '!B$4</f>
        <v>168.31871874999999</v>
      </c>
      <c r="D29" s="93">
        <f>('Цены на металл '!$S30+'Цены на металл '!$T30*2+6)/1000*7.85*'Цены на металл '!C$3*1.25*'Цены на металл '!C$4</f>
        <v>194.21390625000001</v>
      </c>
      <c r="E29" s="93">
        <f>('Цены на металл '!$S30+'Цены на металл '!$T30*2+6)/1000*7.85*'Цены на металл '!D$3*1.25*'Цены на металл '!D$4</f>
        <v>233.05668750000001</v>
      </c>
      <c r="F29" s="93">
        <f>('Цены на металл '!$S30+'Цены на металл '!$T30*2+6)/1000*7.85*'Цены на металл '!E$3*1.25*'Цены на металл '!E$4</f>
        <v>284.84706250000005</v>
      </c>
      <c r="G29" s="93">
        <f>('Цены на металл '!$S30+'Цены на металл '!$T30*2+6)/1000*7.85*'Цены на металл '!F$3*1.25*'Цены на металл '!F$4</f>
        <v>362.53262499999994</v>
      </c>
      <c r="H29" s="93">
        <f>('Цены на металл '!$S30+'Цены на металл '!$T30*2+6)/1000*7.85*'Цены на металл '!G$3*1.25*'Цены на металл '!G$4</f>
        <v>507.14728749999995</v>
      </c>
      <c r="I29" s="124">
        <f>('Цены на металл '!$S30+'Цены на металл '!$T30*2+6)/1000*7.85*'Цены на металл '!H$3*('Цены на металл '!H$4*1.3)+('Цены на металл '!H$5*('Цены на металл '!$S30+'Цены на металл '!$T30*2+6)/1000*7.85*'Цены на металл '!H$3)</f>
        <v>415.43848500000001</v>
      </c>
      <c r="J29" s="124">
        <f>('Цены на металл '!$S30+'Цены на металл '!$T30*2+6)/1000*7.85*'Цены на металл '!I$3*('Цены на металл '!I$4*1.3)+('Цены на металл '!I$5*('Цены на металл '!$S30+'Цены на металл '!$T30*2+6)/1000*7.85*'Цены на металл '!I$3)</f>
        <v>528.73988999999995</v>
      </c>
      <c r="K29" s="124">
        <f>('Цены на металл '!$S30+'Цены на металл '!$T30*2+6)/1000*7.85*'Цены на металл '!J$3*('Цены на металл '!J$4*1.3)+('Цены на металл '!J$5*('Цены на металл '!$S29+'Цены на металл '!$T29*2+6)/1000*7.85*'Цены на металл '!J$3)</f>
        <v>808.81061999999997</v>
      </c>
      <c r="L29" s="140">
        <f>('Цены на металл '!$S30+'Цены на металл '!$T30*2+6)/1000*7.85*'Цены на металл '!K$3*1.8*'Цены на металл '!K$4</f>
        <v>757.2549600000001</v>
      </c>
      <c r="M29" s="140">
        <f>('Цены на металл '!$S30+'Цены на металл '!$T30*2+6)/1000*7.85*'Цены на металл '!L$3*1.8*'Цены на металл '!L$4</f>
        <v>1101.4617600000001</v>
      </c>
      <c r="N29" s="140">
        <f>('Цены на металл '!$S30+'Цены на металл '!$T30*2+6)/1000*7.85*'Цены на металл '!M$3*1.8*'Цены на металл '!M$4</f>
        <v>1376.8272000000002</v>
      </c>
      <c r="O29" s="140">
        <f>('Цены на металл '!$S30+'Цены на металл '!$T30*2+6)/1000*7.85*'Цены на металл '!N$3*1.8*'Цены на металл '!N$4</f>
        <v>1652.19264</v>
      </c>
      <c r="P29" s="140">
        <f>('Цены на металл '!$S30+'Цены на металл '!$T30*2+6)/1000*7.85*'Цены на металл '!O$3*1.8*'Цены на металл '!O$4</f>
        <v>2065.2408</v>
      </c>
    </row>
    <row r="30" spans="1:16">
      <c r="A30" s="10" t="s">
        <v>1082</v>
      </c>
      <c r="B30" s="817"/>
      <c r="C30" s="93">
        <f>('Цены на металл '!$S31+'Цены на металл '!$T31*2+6)/1000*7.85*'Цены на металл '!B$3*1.25*'Цены на металл '!B$4</f>
        <v>176.61028124999999</v>
      </c>
      <c r="D30" s="93">
        <f>('Цены на металл '!$S31+'Цены на металл '!$T31*2+6)/1000*7.85*'Цены на металл '!C$3*1.25*'Цены на металл '!C$4</f>
        <v>203.78109375</v>
      </c>
      <c r="E30" s="93">
        <f>('Цены на металл '!$S31+'Цены на металл '!$T31*2+6)/1000*7.85*'Цены на металл '!D$3*1.25*'Цены на металл '!D$4</f>
        <v>244.53731249999996</v>
      </c>
      <c r="F30" s="93">
        <f>('Цены на металл '!$S31+'Цены на металл '!$T31*2+6)/1000*7.85*'Цены на металл '!E$3*1.25*'Цены на металл '!E$4</f>
        <v>298.87893750000001</v>
      </c>
      <c r="G30" s="93">
        <f>('Цены на металл '!$S31+'Цены на металл '!$T31*2+6)/1000*7.85*'Цены на металл '!F$3*1.25*'Цены на металл '!F$4</f>
        <v>380.39137499999993</v>
      </c>
      <c r="H30" s="93">
        <f>('Цены на металл '!$S31+'Цены на металл '!$T31*2+6)/1000*7.85*'Цены на металл '!G$3*1.25*'Цены на металл '!G$4</f>
        <v>532.12991249999993</v>
      </c>
      <c r="I30" s="124">
        <f>('Цены на металл '!$S31+'Цены на металл '!$T31*2+6)/1000*7.85*'Цены на металл '!H$3*('Цены на металл '!H$4*1.3)+('Цены на металл '!H$5*('Цены на металл '!$S31+'Цены на металл '!$T31*2+6)/1000*7.85*'Цены на металл '!H$3)</f>
        <v>435.903435</v>
      </c>
      <c r="J30" s="124">
        <f>('Цены на металл '!$S31+'Цены на металл '!$T31*2+6)/1000*7.85*'Цены на металл '!I$3*('Цены на металл '!I$4*1.3)+('Цены на металл '!I$5*('Цены на металл '!$S31+'Цены на металл '!$T31*2+6)/1000*7.85*'Цены на металл '!I$3)</f>
        <v>554.78618999999992</v>
      </c>
      <c r="K30" s="124">
        <f>('Цены на металл '!$S31+'Цены на металл '!$T31*2+6)/1000*7.85*'Цены на металл '!J$3*('Цены на металл '!J$4*1.3)+('Цены на металл '!J$5*('Цены на металл '!$S30+'Цены на металл '!$T30*2+6)/1000*7.85*'Цены на металл '!J$3)</f>
        <v>795.18301999999994</v>
      </c>
      <c r="L30" s="140">
        <f>('Цены на металл '!$S31+'Цены на металл '!$T31*2+6)/1000*7.85*'Цены на металл '!K$3*1.8*'Цены на металл '!K$4</f>
        <v>794.55815999999993</v>
      </c>
      <c r="M30" s="140">
        <f>('Цены на металл '!$S31+'Цены на металл '!$T31*2+6)/1000*7.85*'Цены на металл '!L$3*1.8*'Цены на металл '!L$4</f>
        <v>1155.7209599999999</v>
      </c>
      <c r="N30" s="140">
        <f>('Цены на металл '!$S31+'Цены на металл '!$T31*2+6)/1000*7.85*'Цены на металл '!M$3*1.8*'Цены на металл '!M$4</f>
        <v>1444.6511999999998</v>
      </c>
      <c r="O30" s="140">
        <f>('Цены на металл '!$S31+'Цены на металл '!$T31*2+6)/1000*7.85*'Цены на металл '!N$3*1.8*'Цены на металл '!N$4</f>
        <v>1733.5814399999999</v>
      </c>
      <c r="P30" s="140">
        <f>('Цены на металл '!$S31+'Цены на металл '!$T31*2+6)/1000*7.85*'Цены на металл '!O$3*1.8*'Цены на металл '!O$4</f>
        <v>2166.9767999999999</v>
      </c>
    </row>
    <row r="31" spans="1:16">
      <c r="A31" s="10" t="s">
        <v>1083</v>
      </c>
      <c r="B31" s="817"/>
      <c r="C31" s="93">
        <f>('Цены на металл '!$S32+'Цены на металл '!$T32*2+6)/1000*7.85*'Цены на металл '!B$3*1.25*'Цены на металл '!B$4</f>
        <v>180.75606249999998</v>
      </c>
      <c r="D31" s="93">
        <f>('Цены на металл '!$S32+'Цены на металл '!$T32*2+6)/1000*7.85*'Цены на металл '!C$3*1.25*'Цены на металл '!C$4</f>
        <v>208.56468749999999</v>
      </c>
      <c r="E31" s="93">
        <f>('Цены на металл '!$S32+'Цены на металл '!$T32*2+6)/1000*7.85*'Цены на металл '!D$3*1.25*'Цены на металл '!D$4</f>
        <v>250.27762499999997</v>
      </c>
      <c r="F31" s="93">
        <f>('Цены на металл '!$S32+'Цены на металл '!$T32*2+6)/1000*7.85*'Цены на металл '!E$3*1.25*'Цены на металл '!E$4</f>
        <v>305.89487500000001</v>
      </c>
      <c r="G31" s="93">
        <f>('Цены на металл '!$S32+'Цены на металл '!$T32*2+6)/1000*7.85*'Цены на металл '!F$3*1.25*'Цены на металл '!F$4</f>
        <v>389.32074999999998</v>
      </c>
      <c r="H31" s="93">
        <f>('Цены на металл '!$S32+'Цены на металл '!$T32*2+6)/1000*7.85*'Цены на металл '!G$3*1.25*'Цены на металл '!G$4</f>
        <v>544.62122499999987</v>
      </c>
      <c r="I31" s="124">
        <f>('Цены на металл '!$S32+'Цены на металл '!$T32*2+6)/1000*7.85*'Цены на металл '!H$3*('Цены на металл '!H$4*1.3)+('Цены на металл '!H$5*('Цены на металл '!$S32+'Цены на металл '!$T32*2+6)/1000*7.85*'Цены на металл '!H$3)</f>
        <v>446.13591000000008</v>
      </c>
      <c r="J31" s="124">
        <f>('Цены на металл '!$S32+'Цены на металл '!$T32*2+6)/1000*7.85*'Цены на металл '!I$3*('Цены на металл '!I$4*1.3)+('Цены на металл '!I$5*('Цены на металл '!$S32+'Цены на металл '!$T32*2+6)/1000*7.85*'Цены на металл '!I$3)</f>
        <v>567.80933999999991</v>
      </c>
      <c r="K31" s="124">
        <f>('Цены на металл '!$S32+'Цены на металл '!$T32*2+6)/1000*7.85*'Цены на металл '!J$3*('Цены на металл '!J$4*1.3)+('Цены на металл '!J$5*('Цены на металл '!$S31+'Цены на металл '!$T31*2+6)/1000*7.85*'Цены на металл '!J$3)</f>
        <v>821.57472000000007</v>
      </c>
      <c r="L31" s="140">
        <f>('Цены на металл '!$S32+'Цены на металл '!$T32*2+6)/1000*7.85*'Цены на металл '!K$3*1.8*'Цены на металл '!K$4</f>
        <v>813.20976000000007</v>
      </c>
      <c r="M31" s="140">
        <f>('Цены на металл '!$S32+'Цены на металл '!$T32*2+6)/1000*7.85*'Цены на металл '!L$3*1.8*'Цены на металл '!L$4</f>
        <v>1182.8505600000001</v>
      </c>
      <c r="N31" s="140">
        <f>('Цены на металл '!$S32+'Цены на металл '!$T32*2+6)/1000*7.85*'Цены на металл '!M$3*1.8*'Цены на металл '!M$4</f>
        <v>1478.5631999999998</v>
      </c>
      <c r="O31" s="140">
        <f>('Цены на металл '!$S32+'Цены на металл '!$T32*2+6)/1000*7.85*'Цены на металл '!N$3*1.8*'Цены на металл '!N$4</f>
        <v>1774.2758399999998</v>
      </c>
      <c r="P31" s="140">
        <f>('Цены на металл '!$S32+'Цены на металл '!$T32*2+6)/1000*7.85*'Цены на металл '!O$3*1.8*'Цены на металл '!O$4</f>
        <v>2217.8447999999999</v>
      </c>
    </row>
    <row r="32" spans="1:16">
      <c r="A32" s="10" t="s">
        <v>1084</v>
      </c>
      <c r="B32" s="817"/>
      <c r="C32" s="93">
        <f>('Цены на металл '!$S33+'Цены на металл '!$T33*2+6)/1000*7.85*'Цены на металл '!B$3*1.25*'Цены на металл '!B$4</f>
        <v>193.19340625000001</v>
      </c>
      <c r="D32" s="93">
        <f>('Цены на металл '!$S33+'Цены на металл '!$T33*2+6)/1000*7.85*'Цены на металл '!C$3*1.25*'Цены на металл '!C$4</f>
        <v>222.91546875</v>
      </c>
      <c r="E32" s="93">
        <f>('Цены на металл '!$S33+'Цены на металл '!$T33*2+6)/1000*7.85*'Цены на металл '!D$3*1.25*'Цены на металл '!D$4</f>
        <v>267.49856250000005</v>
      </c>
      <c r="F32" s="93">
        <f>('Цены на металл '!$S33+'Цены на металл '!$T33*2+6)/1000*7.85*'Цены на металл '!E$3*1.25*'Цены на металл '!E$4</f>
        <v>326.94268750000003</v>
      </c>
      <c r="G32" s="93">
        <f>('Цены на металл '!$S33+'Цены на металл '!$T33*2+6)/1000*7.85*'Цены на металл '!F$3*1.25*'Цены на металл '!F$4</f>
        <v>416.10887500000001</v>
      </c>
      <c r="H32" s="93">
        <f>('Цены на металл '!$S33+'Цены на металл '!$T33*2+6)/1000*7.85*'Цены на металл '!G$3*1.25*'Цены на металл '!G$4</f>
        <v>582.09516250000001</v>
      </c>
      <c r="I32" s="124">
        <f>('Цены на металл '!$S33+'Цены на металл '!$T33*2+6)/1000*7.85*'Цены на металл '!H$3*('Цены на металл '!H$4*1.3)+('Цены на металл '!H$5*('Цены на металл '!$S33+'Цены на металл '!$T33*2+6)/1000*7.85*'Цены на металл '!H$3)</f>
        <v>476.83333500000003</v>
      </c>
      <c r="J32" s="124">
        <f>('Цены на металл '!$S33+'Цены на металл '!$T33*2+6)/1000*7.85*'Цены на металл '!I$3*('Цены на металл '!I$4*1.3)+('Цены на металл '!I$5*('Цены на металл '!$S33+'Цены на металл '!$T33*2+6)/1000*7.85*'Цены на металл '!I$3)</f>
        <v>606.87878999999998</v>
      </c>
      <c r="K32" s="124">
        <f>('Цены на металл '!$S33+'Цены на металл '!$T33*2+6)/1000*7.85*'Цены на металл '!J$3*('Цены на металл '!J$4*1.3)+('Цены на металл '!J$5*('Цены на металл '!$S32+'Цены на металл '!$T32*2+6)/1000*7.85*'Цены на металл '!J$3)</f>
        <v>863.85482000000002</v>
      </c>
      <c r="L32" s="140">
        <f>('Цены на металл '!$S33+'Цены на металл '!$T33*2+6)/1000*7.85*'Цены на металл '!K$3*1.8*'Цены на металл '!K$4</f>
        <v>869.16456000000017</v>
      </c>
      <c r="M32" s="140">
        <f>('Цены на металл '!$S33+'Цены на металл '!$T33*2+6)/1000*7.85*'Цены на металл '!L$3*1.8*'Цены на металл '!L$4</f>
        <v>1264.2393600000003</v>
      </c>
      <c r="N32" s="140">
        <f>('Цены на металл '!$S33+'Цены на металл '!$T33*2+6)/1000*7.85*'Цены на металл '!M$3*1.8*'Цены на металл '!M$4</f>
        <v>1580.2992000000002</v>
      </c>
      <c r="O32" s="140">
        <f>('Цены на металл '!$S33+'Цены на металл '!$T33*2+6)/1000*7.85*'Цены на металл '!N$3*1.8*'Цены на металл '!N$4</f>
        <v>1896.35904</v>
      </c>
      <c r="P32" s="140">
        <f>('Цены на металл '!$S33+'Цены на металл '!$T33*2+6)/1000*7.85*'Цены на металл '!O$3*1.8*'Цены на металл '!O$4</f>
        <v>2370.4488000000001</v>
      </c>
    </row>
    <row r="33" spans="1:16">
      <c r="A33" s="10" t="s">
        <v>1085</v>
      </c>
      <c r="B33" s="817"/>
      <c r="C33" s="93">
        <f>('Цены на металл '!$S34+'Цены на металл '!$T34*2+6)/1000*7.85*'Цены на металл '!B$3*1.25*'Цены на металл '!B$4</f>
        <v>209.77653125000001</v>
      </c>
      <c r="D33" s="93">
        <f>('Цены на металл '!$S34+'Цены на металл '!$T34*2+6)/1000*7.85*'Цены на металл '!C$3*1.25*'Цены на металл '!C$4</f>
        <v>242.04984374999998</v>
      </c>
      <c r="E33" s="93">
        <f>('Цены на металл '!$S34+'Цены на металл '!$T34*2+6)/1000*7.85*'Цены на металл '!D$3*1.25*'Цены на металл '!D$4</f>
        <v>290.4598125</v>
      </c>
      <c r="F33" s="93">
        <f>('Цены на металл '!$S34+'Цены на металл '!$T34*2+6)/1000*7.85*'Цены на металл '!E$3*1.25*'Цены на металл '!E$4</f>
        <v>355.0064375</v>
      </c>
      <c r="G33" s="93">
        <f>('Цены на металл '!$S34+'Цены на металл '!$T34*2+6)/1000*7.85*'Цены на металл '!F$3*1.25*'Цены на металл '!F$4</f>
        <v>451.82637499999993</v>
      </c>
      <c r="H33" s="93">
        <f>('Цены на металл '!$S34+'Цены на металл '!$T34*2+6)/1000*7.85*'Цены на металл '!G$3*1.25*'Цены на металл '!G$4</f>
        <v>632.06041249999998</v>
      </c>
      <c r="I33" s="124">
        <f>('Цены на металл '!$S34+'Цены на металл '!$T34*2+6)/1000*7.85*'Цены на металл '!H$3*('Цены на металл '!H$4*1.3)+('Цены на металл '!H$5*('Цены на металл '!$S34+'Цены на металл '!$T34*2+6)/1000*7.85*'Цены на металл '!H$3)</f>
        <v>517.76323500000012</v>
      </c>
      <c r="J33" s="124">
        <f>('Цены на металл '!$S34+'Цены на металл '!$T34*2+6)/1000*7.85*'Цены на металл '!I$3*('Цены на металл '!I$4*1.3)+('Цены на металл '!I$5*('Цены на металл '!$S34+'Цены на металл '!$T34*2+6)/1000*7.85*'Цены на металл '!I$3)</f>
        <v>658.97138999999993</v>
      </c>
      <c r="K33" s="124">
        <f>('Цены на металл '!$S34+'Цены на металл '!$T34*2+6)/1000*7.85*'Цены на металл '!J$3*('Цены на металл '!J$4*1.3)+('Цены на металл '!J$5*('Цены на металл '!$S33+'Цены на металл '!$T33*2+6)/1000*7.85*'Цены на металл '!J$3)</f>
        <v>932.52661999999998</v>
      </c>
      <c r="L33" s="140">
        <f>('Цены на металл '!$S34+'Цены на металл '!$T34*2+6)/1000*7.85*'Цены на металл '!K$3*1.8*'Цены на металл '!K$4</f>
        <v>943.77096000000017</v>
      </c>
      <c r="M33" s="140">
        <f>('Цены на металл '!$S34+'Цены на металл '!$T34*2+6)/1000*7.85*'Цены на металл '!L$3*1.8*'Цены на металл '!L$4</f>
        <v>1372.75776</v>
      </c>
      <c r="N33" s="140">
        <f>('Цены на металл '!$S34+'Цены на металл '!$T34*2+6)/1000*7.85*'Цены на металл '!M$3*1.8*'Цены на металл '!M$4</f>
        <v>1715.9472000000001</v>
      </c>
      <c r="O33" s="140">
        <f>('Цены на металл '!$S34+'Цены на металл '!$T34*2+6)/1000*7.85*'Цены на металл '!N$3*1.8*'Цены на металл '!N$4</f>
        <v>2059.1366400000002</v>
      </c>
      <c r="P33" s="140">
        <f>('Цены на металл '!$S34+'Цены на металл '!$T34*2+6)/1000*7.85*'Цены на металл '!O$3*1.8*'Цены на металл '!O$4</f>
        <v>2573.9207999999999</v>
      </c>
    </row>
    <row r="34" spans="1:16">
      <c r="A34" s="10" t="s">
        <v>1086</v>
      </c>
      <c r="B34" s="817"/>
      <c r="C34" s="93">
        <f>('Цены на металл '!$S35+'Цены на металл '!$T35*2+6)/1000*7.85*'Цены на металл '!B$3*1.25*'Цены на металл '!B$4</f>
        <v>251.23434374999997</v>
      </c>
      <c r="D34" s="93">
        <f>('Цены на металл '!$S35+'Цены на металл '!$T35*2+6)/1000*7.85*'Цены на металл '!C$3*1.25*'Цены на металл '!C$4</f>
        <v>289.88578124999998</v>
      </c>
      <c r="E34" s="93">
        <f>('Цены на металл '!$S35+'Цены на металл '!$T35*2+6)/1000*7.85*'Цены на металл '!D$3*1.25*'Цены на металл '!D$4</f>
        <v>347.86293750000004</v>
      </c>
      <c r="F34" s="93">
        <f>('Цены на металл '!$S35+'Цены на металл '!$T35*2+6)/1000*7.85*'Цены на металл '!E$3*1.25*'Цены на металл '!E$4</f>
        <v>425.16581250000002</v>
      </c>
      <c r="G34" s="93">
        <f>('Цены на металл '!$S35+'Цены на металл '!$T35*2+6)/1000*7.85*'Цены на металл '!F$3*1.25*'Цены на металл '!F$4</f>
        <v>541.12012499999992</v>
      </c>
      <c r="H34" s="93">
        <f>('Цены на металл '!$S35+'Цены на металл '!$T35*2+6)/1000*7.85*'Цены на металл '!G$3*1.25*'Цены на металл '!G$4</f>
        <v>756.97353749999979</v>
      </c>
      <c r="I34" s="124">
        <f>('Цены на металл '!$S35+'Цены на металл '!$T35*2+6)/1000*7.85*'Цены на металл '!H$3*('Цены на металл '!H$4*1.3)+('Цены на металл '!H$5*('Цены на металл '!$S35+'Цены на металл '!$T35*2+6)/1000*7.85*'Цены на металл '!H$3)</f>
        <v>620.087985</v>
      </c>
      <c r="J34" s="124">
        <f>('Цены на металл '!$S35+'Цены на металл '!$T35*2+6)/1000*7.85*'Цены на металл '!I$3*('Цены на металл '!I$4*1.3)+('Цены на металл '!I$5*('Цены на металл '!$S35+'Цены на металл '!$T35*2+6)/1000*7.85*'Цены на металл '!I$3)</f>
        <v>789.20288999999991</v>
      </c>
      <c r="K34" s="124">
        <f>('Цены на металл '!$S35+'Цены на металл '!$T35*2+6)/1000*7.85*'Цены на металл '!J$3*('Цены на металл '!J$4*1.3)+('Цены на металл '!J$5*('Цены на металл '!$S34+'Цены на металл '!$T34*2+6)/1000*7.85*'Цены на металл '!J$3)</f>
        <v>1078.3796199999999</v>
      </c>
      <c r="L34" s="140">
        <f>('Цены на металл '!$S35+'Цены на металл '!$T35*2+6)/1000*7.85*'Цены на металл '!K$3*1.8*'Цены на металл '!K$4</f>
        <v>1130.2869599999999</v>
      </c>
      <c r="M34" s="140">
        <f>('Цены на металл '!$S35+'Цены на металл '!$T35*2+6)/1000*7.85*'Цены на металл '!L$3*1.8*'Цены на металл '!L$4</f>
        <v>1644.05376</v>
      </c>
      <c r="N34" s="140">
        <f>('Цены на металл '!$S35+'Цены на металл '!$T35*2+6)/1000*7.85*'Цены на металл '!M$3*1.8*'Цены на металл '!M$4</f>
        <v>2055.0672</v>
      </c>
      <c r="O34" s="140">
        <f>('Цены на металл '!$S35+'Цены на металл '!$T35*2+6)/1000*7.85*'Цены на металл '!N$3*1.8*'Цены на металл '!N$4</f>
        <v>2466.0806399999997</v>
      </c>
      <c r="P34" s="140">
        <f>('Цены на металл '!$S35+'Цены на металл '!$T35*2+6)/1000*7.85*'Цены на металл '!O$3*1.8*'Цены на металл '!O$4</f>
        <v>3082.6007999999997</v>
      </c>
    </row>
    <row r="35" spans="1:16">
      <c r="A35" s="10" t="s">
        <v>1087</v>
      </c>
      <c r="B35" s="817"/>
      <c r="C35" s="93">
        <f>('Цены на металл '!$S36+'Цены на металл '!$T36*2+6)/1000*7.85*'Цены на металл '!B$3*1.25*'Цены на металл '!B$4</f>
        <v>292.69215624999998</v>
      </c>
      <c r="D35" s="93">
        <f>('Цены на металл '!$S36+'Цены на металл '!$T36*2+6)/1000*7.85*'Цены на металл '!C$3*1.25*'Цены на металл '!C$4</f>
        <v>337.72171875000004</v>
      </c>
      <c r="E35" s="93">
        <f>('Цены на металл '!$S36+'Цены на металл '!$T36*2+6)/1000*7.85*'Цены на металл '!D$3*1.25*'Цены на металл '!D$4</f>
        <v>405.26606250000003</v>
      </c>
      <c r="F35" s="93">
        <f>('Цены на металл '!$S36+'Цены на металл '!$T36*2+6)/1000*7.85*'Цены на металл '!E$3*1.25*'Цены на металл '!E$4</f>
        <v>495.32518749999997</v>
      </c>
      <c r="G35" s="93">
        <f>('Цены на металл '!$S36+'Цены на металл '!$T36*2+6)/1000*7.85*'Цены на металл '!F$3*1.25*'Цены на металл '!F$4</f>
        <v>630.41387499999985</v>
      </c>
      <c r="H35" s="93">
        <f>('Цены на металл '!$S36+'Цены на металл '!$T36*2+6)/1000*7.85*'Цены на металл '!G$3*1.25*'Цены на металл '!G$4</f>
        <v>881.88666249999983</v>
      </c>
      <c r="I35" s="124">
        <f>('Цены на металл '!$S36+'Цены на металл '!$T36*2+6)/1000*7.85*'Цены на металл '!H$3*('Цены на металл '!H$4*1.3)+('Цены на металл '!H$5*('Цены на металл '!$S36+'Цены на металл '!$T36*2+6)/1000*7.85*'Цены на металл '!H$3)</f>
        <v>722.41273500000011</v>
      </c>
      <c r="J35" s="124">
        <f>('Цены на металл '!$S36+'Цены на металл '!$T36*2+6)/1000*7.85*'Цены на металл '!I$3*('Цены на металл '!I$4*1.3)+('Цены на металл '!I$5*('Цены на металл '!$S36+'Цены на металл '!$T36*2+6)/1000*7.85*'Цены на металл '!I$3)</f>
        <v>919.43438999999989</v>
      </c>
      <c r="K35" s="124">
        <f>('Цены на металл '!$S36+'Цены на металл '!$T36*2+6)/1000*7.85*'Цены на металл '!J$3*('Цены на металл '!J$4*1.3)+('Цены на металл '!J$5*('Цены на металл '!$S35+'Цены на металл '!$T35*2+6)/1000*7.85*'Цены на металл '!J$3)</f>
        <v>1268.5066200000001</v>
      </c>
      <c r="L35" s="140">
        <f>('Цены на металл '!$S36+'Цены на металл '!$T36*2+6)/1000*7.85*'Цены на металл '!K$3*1.8*'Цены на металл '!K$4</f>
        <v>1316.80296</v>
      </c>
      <c r="M35" s="140">
        <f>('Цены на металл '!$S36+'Цены на металл '!$T36*2+6)/1000*7.85*'Цены на металл '!L$3*1.8*'Цены на металл '!L$4</f>
        <v>1915.3497599999998</v>
      </c>
      <c r="N35" s="140">
        <f>('Цены на металл '!$S36+'Цены на металл '!$T36*2+6)/1000*7.85*'Цены на металл '!M$3*1.8*'Цены на металл '!M$4</f>
        <v>2394.1872000000003</v>
      </c>
      <c r="O35" s="140">
        <f>('Цены на металл '!$S36+'Цены на металл '!$T36*2+6)/1000*7.85*'Цены на металл '!N$3*1.8*'Цены на металл '!N$4</f>
        <v>2873.0246399999996</v>
      </c>
      <c r="P35" s="140">
        <f>('Цены на металл '!$S36+'Цены на металл '!$T36*2+6)/1000*7.85*'Цены на металл '!O$3*1.8*'Цены на металл '!O$4</f>
        <v>3591.2808</v>
      </c>
    </row>
    <row r="36" spans="1:16">
      <c r="A36" s="10" t="s">
        <v>1088</v>
      </c>
      <c r="B36" s="817"/>
      <c r="C36" s="93">
        <f>('Цены на металл '!$S37+'Цены на металл '!$T37*2+6)/1000*7.85*'Цены на металл '!B$3*1.25*'Цены на металл '!B$4</f>
        <v>209.77653125000001</v>
      </c>
      <c r="D36" s="93">
        <f>('Цены на металл '!$S37+'Цены на металл '!$T37*2+6)/1000*7.85*'Цены на металл '!C$3*1.25*'Цены на металл '!C$4</f>
        <v>242.04984374999998</v>
      </c>
      <c r="E36" s="93">
        <f>('Цены на металл '!$S37+'Цены на металл '!$T37*2+6)/1000*7.85*'Цены на металл '!D$3*1.25*'Цены на металл '!D$4</f>
        <v>290.4598125</v>
      </c>
      <c r="F36" s="93">
        <f>('Цены на металл '!$S37+'Цены на металл '!$T37*2+6)/1000*7.85*'Цены на металл '!E$3*1.25*'Цены на металл '!E$4</f>
        <v>355.0064375</v>
      </c>
      <c r="G36" s="93">
        <f>('Цены на металл '!$S37+'Цены на металл '!$T37*2+6)/1000*7.85*'Цены на металл '!F$3*1.25*'Цены на металл '!F$4</f>
        <v>451.82637499999993</v>
      </c>
      <c r="H36" s="93">
        <f>('Цены на металл '!$S37+'Цены на металл '!$T37*2+6)/1000*7.85*'Цены на металл '!G$3*1.25*'Цены на металл '!G$4</f>
        <v>632.06041249999998</v>
      </c>
      <c r="I36" s="124">
        <f>('Цены на металл '!$S37+'Цены на металл '!$T37*2+6)/1000*7.85*'Цены на металл '!H$3*('Цены на металл '!H$4*1.3)+('Цены на металл '!H$5*('Цены на металл '!$S37+'Цены на металл '!$T37*2+6)/1000*7.85*'Цены на металл '!H$3)</f>
        <v>517.76323500000012</v>
      </c>
      <c r="J36" s="124">
        <f>('Цены на металл '!$S37+'Цены на металл '!$T37*2+6)/1000*7.85*'Цены на металл '!I$3*('Цены на металл '!I$4*1.3)+('Цены на металл '!I$5*('Цены на металл '!$S37+'Цены на металл '!$T37*2+6)/1000*7.85*'Цены на металл '!I$3)</f>
        <v>658.97138999999993</v>
      </c>
      <c r="K36" s="124">
        <f>('Цены на металл '!$S37+'Цены на металл '!$T37*2+6)/1000*7.85*'Цены на металл '!J$3*('Цены на металл '!J$4*1.3)+('Цены на металл '!J$5*('Цены на металл '!$S36+'Цены на металл '!$T36*2+6)/1000*7.85*'Цены на металл '!J$3)</f>
        <v>1109.6226200000001</v>
      </c>
      <c r="L36" s="140">
        <f>('Цены на металл '!$S37+'Цены на металл '!$T37*2+6)/1000*7.85*'Цены на металл '!K$3*1.8*'Цены на металл '!K$4</f>
        <v>943.77096000000017</v>
      </c>
      <c r="M36" s="140">
        <f>('Цены на металл '!$S37+'Цены на металл '!$T37*2+6)/1000*7.85*'Цены на металл '!L$3*1.8*'Цены на металл '!L$4</f>
        <v>1372.75776</v>
      </c>
      <c r="N36" s="140">
        <f>('Цены на металл '!$S37+'Цены на металл '!$T37*2+6)/1000*7.85*'Цены на металл '!M$3*1.8*'Цены на металл '!M$4</f>
        <v>1715.9472000000001</v>
      </c>
      <c r="O36" s="140">
        <f>('Цены на металл '!$S37+'Цены на металл '!$T37*2+6)/1000*7.85*'Цены на металл '!N$3*1.8*'Цены на металл '!N$4</f>
        <v>2059.1366400000002</v>
      </c>
      <c r="P36" s="140">
        <f>('Цены на металл '!$S37+'Цены на металл '!$T37*2+6)/1000*7.85*'Цены на металл '!O$3*1.8*'Цены на металл '!O$4</f>
        <v>2573.9207999999999</v>
      </c>
    </row>
    <row r="37" spans="1:16">
      <c r="A37" s="10" t="s">
        <v>1089</v>
      </c>
      <c r="B37" s="817"/>
      <c r="C37" s="93">
        <f>('Цены на металл '!$S38+'Цены на металл '!$T38*2+6)/1000*7.85*'Цены на металл '!B$3*1.25*'Цены на металл '!B$4</f>
        <v>218.06809375000003</v>
      </c>
      <c r="D37" s="93">
        <f>('Цены на металл '!$S38+'Цены на металл '!$T38*2+6)/1000*7.85*'Цены на металл '!C$3*1.25*'Цены на металл '!C$4</f>
        <v>251.61703124999997</v>
      </c>
      <c r="E37" s="93">
        <f>('Цены на металл '!$S38+'Цены на металл '!$T38*2+6)/1000*7.85*'Цены на металл '!D$3*1.25*'Цены на металл '!D$4</f>
        <v>301.94043750000003</v>
      </c>
      <c r="F37" s="93">
        <f>('Цены на металл '!$S38+'Цены на металл '!$T38*2+6)/1000*7.85*'Цены на металл '!E$3*1.25*'Цены на металл '!E$4</f>
        <v>369.03831250000002</v>
      </c>
      <c r="G37" s="93">
        <f>('Цены на металл '!$S38+'Цены на металл '!$T38*2+6)/1000*7.85*'Цены на металл '!F$3*1.25*'Цены на металл '!F$4</f>
        <v>469.68512500000003</v>
      </c>
      <c r="H37" s="93">
        <f>('Цены на металл '!$S38+'Цены на металл '!$T38*2+6)/1000*7.85*'Цены на металл '!G$3*1.25*'Цены на металл '!G$4</f>
        <v>657.04303749999997</v>
      </c>
      <c r="I37" s="124">
        <f>('Цены на металл '!$S38+'Цены на металл '!$T38*2+6)/1000*7.85*'Цены на металл '!H$3*('Цены на металл '!H$4*1.3)+('Цены на металл '!H$5*('Цены на металл '!$S38+'Цены на металл '!$T38*2+6)/1000*7.85*'Цены на металл '!H$3)</f>
        <v>538.22818500000005</v>
      </c>
      <c r="J37" s="124">
        <f>('Цены на металл '!$S38+'Цены на металл '!$T38*2+6)/1000*7.85*'Цены на металл '!I$3*('Цены на металл '!I$4*1.3)+('Цены на металл '!I$5*('Цены на металл '!$S38+'Цены на металл '!$T38*2+6)/1000*7.85*'Цены на металл '!I$3)</f>
        <v>685.0176899999999</v>
      </c>
      <c r="K37" s="124">
        <f>('Цены на металл '!$S38+'Цены на металл '!$T38*2+6)/1000*7.85*'Цены на металл '!J$3*('Цены на металл '!J$4*1.3)+('Цены на металл '!J$5*('Цены на металл '!$S37+'Цены на металл '!$T37*2+6)/1000*7.85*'Цены на металл '!J$3)</f>
        <v>985.31002000000012</v>
      </c>
      <c r="L37" s="140">
        <f>('Цены на металл '!$S38+'Цены на металл '!$T38*2+6)/1000*7.85*'Цены на металл '!K$3*1.8*'Цены на металл '!K$4</f>
        <v>981.07416000000001</v>
      </c>
      <c r="M37" s="140">
        <f>('Цены на металл '!$S38+'Цены на металл '!$T38*2+6)/1000*7.85*'Цены на металл '!L$3*1.8*'Цены на металл '!L$4</f>
        <v>1427.0169600000002</v>
      </c>
      <c r="N37" s="140">
        <f>('Цены на металл '!$S38+'Цены на металл '!$T38*2+6)/1000*7.85*'Цены на металл '!M$3*1.8*'Цены на металл '!M$4</f>
        <v>1783.7712000000001</v>
      </c>
      <c r="O37" s="140">
        <f>('Цены на металл '!$S38+'Цены на металл '!$T38*2+6)/1000*7.85*'Цены на металл '!N$3*1.8*'Цены на металл '!N$4</f>
        <v>2140.5254400000003</v>
      </c>
      <c r="P37" s="140">
        <f>('Цены на металл '!$S38+'Цены на металл '!$T38*2+6)/1000*7.85*'Цены на металл '!O$3*1.8*'Цены на металл '!O$4</f>
        <v>2675.6567999999997</v>
      </c>
    </row>
    <row r="38" spans="1:16">
      <c r="A38" s="10" t="s">
        <v>1090</v>
      </c>
      <c r="B38" s="817"/>
      <c r="C38" s="93">
        <f>('Цены на металл '!$S39+'Цены на металл '!$T39*2+6)/1000*7.85*'Цены на металл '!B$3*1.25*'Цены на металл '!B$4</f>
        <v>222.21387500000003</v>
      </c>
      <c r="D38" s="93">
        <f>('Цены на металл '!$S39+'Цены на металл '!$T39*2+6)/1000*7.85*'Цены на металл '!C$3*1.25*'Цены на металл '!C$4</f>
        <v>256.40062499999999</v>
      </c>
      <c r="E38" s="93">
        <f>('Цены на металл '!$S39+'Цены на металл '!$T39*2+6)/1000*7.85*'Цены на металл '!D$3*1.25*'Цены на металл '!D$4</f>
        <v>307.68074999999999</v>
      </c>
      <c r="F38" s="93">
        <f>('Цены на металл '!$S39+'Цены на металл '!$T39*2+6)/1000*7.85*'Цены на металл '!E$3*1.25*'Цены на металл '!E$4</f>
        <v>376.05425000000008</v>
      </c>
      <c r="G38" s="93">
        <f>('Цены на металл '!$S39+'Цены на металл '!$T39*2+6)/1000*7.85*'Цены на металл '!F$3*1.25*'Цены на металл '!F$4</f>
        <v>478.61450000000002</v>
      </c>
      <c r="H38" s="93">
        <f>('Цены на металл '!$S39+'Цены на металл '!$T39*2+6)/1000*7.85*'Цены на металл '!G$3*1.25*'Цены на металл '!G$4</f>
        <v>669.53435000000002</v>
      </c>
      <c r="I38" s="124">
        <f>('Цены на металл '!$S39+'Цены на металл '!$T39*2+6)/1000*7.85*'Цены на металл '!H$3*('Цены на металл '!H$4*1.3)+('Цены на металл '!H$5*('Цены на металл '!$S39+'Цены на металл '!$T39*2+6)/1000*7.85*'Цены на металл '!H$3)</f>
        <v>548.46065999999996</v>
      </c>
      <c r="J38" s="124">
        <f>('Цены на металл '!$S39+'Цены на металл '!$T39*2+6)/1000*7.85*'Цены на металл '!I$3*('Цены на металл '!I$4*1.3)+('Цены на металл '!I$5*('Цены на металл '!$S39+'Цены на металл '!$T39*2+6)/1000*7.85*'Цены на металл '!I$3)</f>
        <v>698.04084</v>
      </c>
      <c r="K38" s="124">
        <f>('Цены на металл '!$S39+'Цены на металл '!$T39*2+6)/1000*7.85*'Цены на металл '!J$3*('Цены на металл '!J$4*1.3)+('Цены на металл '!J$5*('Цены на металл '!$S38+'Цены на металл '!$T38*2+6)/1000*7.85*'Цены на металл '!J$3)</f>
        <v>1011.7017200000001</v>
      </c>
      <c r="L38" s="140">
        <f>('Цены на металл '!$S39+'Цены на металл '!$T39*2+6)/1000*7.85*'Цены на металл '!K$3*1.8*'Цены на металл '!K$4</f>
        <v>999.72576000000015</v>
      </c>
      <c r="M38" s="140">
        <f>('Цены на металл '!$S39+'Цены на металл '!$T39*2+6)/1000*7.85*'Цены на металл '!L$3*1.8*'Цены на металл '!L$4</f>
        <v>1454.1465600000001</v>
      </c>
      <c r="N38" s="140">
        <f>('Цены на металл '!$S39+'Цены на металл '!$T39*2+6)/1000*7.85*'Цены на металл '!M$3*1.8*'Цены на металл '!M$4</f>
        <v>1817.6832000000002</v>
      </c>
      <c r="O38" s="140">
        <f>('Цены на металл '!$S39+'Цены на металл '!$T39*2+6)/1000*7.85*'Цены на металл '!N$3*1.8*'Цены на металл '!N$4</f>
        <v>2181.2198400000002</v>
      </c>
      <c r="P38" s="140">
        <f>('Цены на металл '!$S39+'Цены на металл '!$T39*2+6)/1000*7.85*'Цены на металл '!O$3*1.8*'Цены на металл '!O$4</f>
        <v>2726.5248000000001</v>
      </c>
    </row>
    <row r="39" spans="1:16">
      <c r="A39" s="10" t="s">
        <v>1091</v>
      </c>
      <c r="B39" s="817"/>
      <c r="C39" s="93">
        <f>('Цены на металл '!$S40+'Цены на металл '!$T40*2+6)/1000*7.85*'Цены на металл '!B$3*1.25*'Цены на металл '!B$4</f>
        <v>234.65121874999997</v>
      </c>
      <c r="D39" s="93">
        <f>('Цены на металл '!$S40+'Цены на металл '!$T40*2+6)/1000*7.85*'Цены на металл '!C$3*1.25*'Цены на металл '!C$4</f>
        <v>270.75140624999995</v>
      </c>
      <c r="E39" s="93">
        <f>('Цены на металл '!$S40+'Цены на металл '!$T40*2+6)/1000*7.85*'Цены на металл '!D$3*1.25*'Цены на металл '!D$4</f>
        <v>324.90168749999998</v>
      </c>
      <c r="F39" s="93">
        <f>('Цены на металл '!$S40+'Цены на металл '!$T40*2+6)/1000*7.85*'Цены на металл '!E$3*1.25*'Цены на металл '!E$4</f>
        <v>397.10206249999999</v>
      </c>
      <c r="G39" s="93">
        <f>('Цены на металл '!$S40+'Цены на металл '!$T40*2+6)/1000*7.85*'Цены на металл '!F$3*1.25*'Цены на металл '!F$4</f>
        <v>505.40262499999989</v>
      </c>
      <c r="H39" s="93">
        <f>('Цены на металл '!$S40+'Цены на металл '!$T40*2+6)/1000*7.85*'Цены на металл '!G$3*1.25*'Цены на металл '!G$4</f>
        <v>707.00828749999994</v>
      </c>
      <c r="I39" s="124">
        <f>('Цены на металл '!$S40+'Цены на металл '!$T40*2+6)/1000*7.85*'Цены на металл '!H$3*('Цены на металл '!H$4*1.3)+('Цены на металл '!H$5*('Цены на металл '!$S40+'Цены на металл '!$T40*2+6)/1000*7.85*'Цены на металл '!H$3)</f>
        <v>579.15808500000003</v>
      </c>
      <c r="J39" s="124">
        <f>('Цены на металл '!$S40+'Цены на металл '!$T40*2+6)/1000*7.85*'Цены на металл '!I$3*('Цены на металл '!I$4*1.3)+('Цены на металл '!I$5*('Цены на металл '!$S40+'Цены на металл '!$T40*2+6)/1000*7.85*'Цены на металл '!I$3)</f>
        <v>737.11028999999985</v>
      </c>
      <c r="K39" s="124">
        <f>('Цены на металл '!$S40+'Цены на металл '!$T40*2+6)/1000*7.85*'Цены на металл '!J$3*('Цены на металл '!J$4*1.3)+('Цены на металл '!J$5*('Цены на металл '!$S39+'Цены на металл '!$T39*2+6)/1000*7.85*'Цены на металл '!J$3)</f>
        <v>1053.98182</v>
      </c>
      <c r="L39" s="140">
        <f>('Цены на металл '!$S40+'Цены на металл '!$T40*2+6)/1000*7.85*'Цены на металл '!K$3*1.8*'Цены на металл '!K$4</f>
        <v>1055.68056</v>
      </c>
      <c r="M39" s="140">
        <f>('Цены на металл '!$S40+'Цены на металл '!$T40*2+6)/1000*7.85*'Цены на металл '!L$3*1.8*'Цены на металл '!L$4</f>
        <v>1535.5353599999999</v>
      </c>
      <c r="N39" s="140">
        <f>('Цены на металл '!$S40+'Цены на металл '!$T40*2+6)/1000*7.85*'Цены на металл '!M$3*1.8*'Цены на металл '!M$4</f>
        <v>1919.4191999999998</v>
      </c>
      <c r="O39" s="140">
        <f>('Цены на металл '!$S40+'Цены на металл '!$T40*2+6)/1000*7.85*'Цены на металл '!N$3*1.8*'Цены на металл '!N$4</f>
        <v>2303.3030399999998</v>
      </c>
      <c r="P39" s="140">
        <f>('Цены на металл '!$S40+'Цены на металл '!$T40*2+6)/1000*7.85*'Цены на металл '!O$3*1.8*'Цены на металл '!O$4</f>
        <v>2879.1287999999995</v>
      </c>
    </row>
    <row r="40" spans="1:16">
      <c r="A40" s="10" t="s">
        <v>1092</v>
      </c>
      <c r="B40" s="817"/>
      <c r="C40" s="93">
        <f>('Цены на металл '!$S41+'Цены на металл '!$T41*2+6)/1000*7.85*'Цены на металл '!B$3*1.25*'Цены на металл '!B$4</f>
        <v>251.23434374999997</v>
      </c>
      <c r="D40" s="93">
        <f>('Цены на металл '!$S41+'Цены на металл '!$T41*2+6)/1000*7.85*'Цены на металл '!C$3*1.25*'Цены на металл '!C$4</f>
        <v>289.88578124999998</v>
      </c>
      <c r="E40" s="93">
        <f>('Цены на металл '!$S41+'Цены на металл '!$T41*2+6)/1000*7.85*'Цены на металл '!D$3*1.25*'Цены на металл '!D$4</f>
        <v>347.86293750000004</v>
      </c>
      <c r="F40" s="93">
        <f>('Цены на металл '!$S41+'Цены на металл '!$T41*2+6)/1000*7.85*'Цены на металл '!E$3*1.25*'Цены на металл '!E$4</f>
        <v>425.16581250000002</v>
      </c>
      <c r="G40" s="93">
        <f>('Цены на металл '!$S41+'Цены на металл '!$T41*2+6)/1000*7.85*'Цены на металл '!F$3*1.25*'Цены на металл '!F$4</f>
        <v>541.12012499999992</v>
      </c>
      <c r="H40" s="93">
        <f>('Цены на металл '!$S41+'Цены на металл '!$T41*2+6)/1000*7.85*'Цены на металл '!G$3*1.25*'Цены на металл '!G$4</f>
        <v>756.97353749999979</v>
      </c>
      <c r="I40" s="124">
        <f>('Цены на металл '!$S41+'Цены на металл '!$T41*2+6)/1000*7.85*'Цены на металл '!H$3*('Цены на металл '!H$4*1.3)+('Цены на металл '!H$5*('Цены на металл '!$S41+'Цены на металл '!$T41*2+6)/1000*7.85*'Цены на металл '!H$3)</f>
        <v>620.087985</v>
      </c>
      <c r="J40" s="124">
        <f>('Цены на металл '!$S41+'Цены на металл '!$T41*2+6)/1000*7.85*'Цены на металл '!I$3*('Цены на металл '!I$4*1.3)+('Цены на металл '!I$5*('Цены на металл '!$S41+'Цены на металл '!$T41*2+6)/1000*7.85*'Цены на металл '!I$3)</f>
        <v>789.20288999999991</v>
      </c>
      <c r="K40" s="124">
        <f>('Цены на металл '!$S41+'Цены на металл '!$T41*2+6)/1000*7.85*'Цены на металл '!J$3*('Цены на металл '!J$4*1.3)+('Цены на металл '!J$5*('Цены на металл '!$S40+'Цены на металл '!$T40*2+6)/1000*7.85*'Цены на металл '!J$3)</f>
        <v>1122.65362</v>
      </c>
      <c r="L40" s="140">
        <f>('Цены на металл '!$S41+'Цены на металл '!$T41*2+6)/1000*7.85*'Цены на металл '!K$3*1.8*'Цены на металл '!K$4</f>
        <v>1130.2869599999999</v>
      </c>
      <c r="M40" s="140">
        <f>('Цены на металл '!$S41+'Цены на металл '!$T41*2+6)/1000*7.85*'Цены на металл '!L$3*1.8*'Цены на металл '!L$4</f>
        <v>1644.05376</v>
      </c>
      <c r="N40" s="140">
        <f>('Цены на металл '!$S41+'Цены на металл '!$T41*2+6)/1000*7.85*'Цены на металл '!M$3*1.8*'Цены на металл '!M$4</f>
        <v>2055.0672</v>
      </c>
      <c r="O40" s="140">
        <f>('Цены на металл '!$S41+'Цены на металл '!$T41*2+6)/1000*7.85*'Цены на металл '!N$3*1.8*'Цены на металл '!N$4</f>
        <v>2466.0806399999997</v>
      </c>
      <c r="P40" s="140">
        <f>('Цены на металл '!$S41+'Цены на металл '!$T41*2+6)/1000*7.85*'Цены на металл '!O$3*1.8*'Цены на металл '!O$4</f>
        <v>3082.6007999999997</v>
      </c>
    </row>
    <row r="41" spans="1:16">
      <c r="A41" s="10" t="s">
        <v>1093</v>
      </c>
      <c r="B41" s="818"/>
      <c r="C41" s="819"/>
      <c r="D41" s="93">
        <f>('Цены на металл '!$S42+'Цены на металл '!$T42*2+6)/1000*7.85*'Цены на металл '!C$3*1.25*'Цены на металл '!C$4</f>
        <v>337.72171875000004</v>
      </c>
      <c r="E41" s="93">
        <f>('Цены на металл '!$S42+'Цены на металл '!$T42*2+6)/1000*7.85*'Цены на металл '!D$3*1.25*'Цены на металл '!D$4</f>
        <v>405.26606250000003</v>
      </c>
      <c r="F41" s="93">
        <f>('Цены на металл '!$S42+'Цены на металл '!$T42*2+6)/1000*7.85*'Цены на металл '!E$3*1.25*'Цены на металл '!E$4</f>
        <v>495.32518749999997</v>
      </c>
      <c r="G41" s="93">
        <f>('Цены на металл '!$S42+'Цены на металл '!$T42*2+6)/1000*7.85*'Цены на металл '!F$3*1.25*'Цены на металл '!F$4</f>
        <v>630.41387499999985</v>
      </c>
      <c r="H41" s="93">
        <f>('Цены на металл '!$S42+'Цены на металл '!$T42*2+6)/1000*7.85*'Цены на металл '!G$3*1.25*'Цены на металл '!G$4</f>
        <v>881.88666249999983</v>
      </c>
      <c r="I41" s="124">
        <f>('Цены на металл '!$S42+'Цены на металл '!$T42*2+6)/1000*7.85*'Цены на металл '!H$3*('Цены на металл '!H$4*1.3)+('Цены на металл '!H$5*('Цены на металл '!$S42+'Цены на металл '!$T42*2+6)/1000*7.85*'Цены на металл '!H$3)</f>
        <v>722.41273500000011</v>
      </c>
      <c r="J41" s="124">
        <f>('Цены на металл '!$S42+'Цены на металл '!$T42*2+6)/1000*7.85*'Цены на металл '!I$3*('Цены на металл '!I$4*1.3)+('Цены на металл '!I$5*('Цены на металл '!$S42+'Цены на металл '!$T42*2+6)/1000*7.85*'Цены на металл '!I$3)</f>
        <v>919.43438999999989</v>
      </c>
      <c r="K41" s="124">
        <f>('Цены на металл '!$S42+'Цены на металл '!$T42*2+6)/1000*7.85*'Цены на металл '!J$3*('Цены на металл '!J$4*1.3)+('Цены на металл '!J$5*('Цены на металл '!$S41+'Цены на металл '!$T41*2+6)/1000*7.85*'Цены на металл '!J$3)</f>
        <v>1268.5066200000001</v>
      </c>
      <c r="L41" s="140">
        <f>('Цены на металл '!$S42+'Цены на металл '!$T42*2+6)/1000*7.85*'Цены на металл '!K$3*1.8*'Цены на металл '!K$4</f>
        <v>1316.80296</v>
      </c>
      <c r="M41" s="140">
        <f>('Цены на металл '!$S42+'Цены на металл '!$T42*2+6)/1000*7.85*'Цены на металл '!L$3*1.8*'Цены на металл '!L$4</f>
        <v>1915.3497599999998</v>
      </c>
      <c r="N41" s="140">
        <f>('Цены на металл '!$S42+'Цены на металл '!$T42*2+6)/1000*7.85*'Цены на металл '!M$3*1.8*'Цены на металл '!M$4</f>
        <v>2394.1872000000003</v>
      </c>
      <c r="O41" s="140">
        <f>('Цены на металл '!$S42+'Цены на металл '!$T42*2+6)/1000*7.85*'Цены на металл '!N$3*1.8*'Цены на металл '!N$4</f>
        <v>2873.0246399999996</v>
      </c>
      <c r="P41" s="140">
        <f>('Цены на металл '!$S42+'Цены на металл '!$T42*2+6)/1000*7.85*'Цены на металл '!O$3*1.8*'Цены на металл '!O$4</f>
        <v>3591.2808</v>
      </c>
    </row>
    <row r="42" spans="1:16">
      <c r="A42" s="10" t="s">
        <v>1094</v>
      </c>
      <c r="B42" s="818"/>
      <c r="C42" s="819"/>
      <c r="D42" s="93">
        <f>('Цены на металл '!$S43+'Цены на металл '!$T43*2+6)/1000*7.85*'Цены на металл '!C$3*1.25*'Цены на металл '!C$4</f>
        <v>385.55765624999998</v>
      </c>
      <c r="E42" s="93">
        <f>('Цены на металл '!$S43+'Цены на металл '!$T43*2+6)/1000*7.85*'Цены на металл '!D$3*1.25*'Цены на металл '!D$4</f>
        <v>462.66918750000002</v>
      </c>
      <c r="F42" s="93">
        <f>('Цены на металл '!$S43+'Цены на металл '!$T43*2+6)/1000*7.85*'Цены на металл '!E$3*1.25*'Цены на металл '!E$4</f>
        <v>565.48456250000004</v>
      </c>
      <c r="G42" s="93">
        <f>('Цены на металл '!$S43+'Цены на металл '!$T43*2+6)/1000*7.85*'Цены на металл '!F$3*1.25*'Цены на металл '!F$4</f>
        <v>719.70762499999989</v>
      </c>
      <c r="H42" s="93">
        <f>('Цены на металл '!$S43+'Цены на металл '!$T43*2+6)/1000*7.85*'Цены на металл '!G$3*1.25*'Цены на металл '!G$4</f>
        <v>1006.7997874999999</v>
      </c>
      <c r="I42" s="124">
        <f>('Цены на металл '!$S43+'Цены на металл '!$T43*2+6)/1000*7.85*'Цены на металл '!H$3*('Цены на металл '!H$4*1.3)+('Цены на металл '!H$5*('Цены на металл '!$S43+'Цены на металл '!$T43*2+6)/1000*7.85*'Цены на металл '!H$3)</f>
        <v>824.73748499999999</v>
      </c>
      <c r="J42" s="124">
        <f>('Цены на металл '!$S43+'Цены на металл '!$T43*2+6)/1000*7.85*'Цены на металл '!I$3*('Цены на металл '!I$4*1.3)+('Цены на металл '!I$5*('Цены на металл '!$S43+'Цены на металл '!$T43*2+6)/1000*7.85*'Цены на металл '!I$3)</f>
        <v>1049.6658899999998</v>
      </c>
      <c r="K42" s="124">
        <f>('Цены на металл '!$S43+'Цены на металл '!$T43*2+6)/1000*7.85*'Цены на металл '!J$3*('Цены на металл '!J$4*1.3)+('Цены на металл '!J$5*('Цены на металл '!$S42+'Цены на металл '!$T42*2+6)/1000*7.85*'Цены на металл '!J$3)</f>
        <v>1458.6336200000001</v>
      </c>
      <c r="L42" s="140">
        <f>('Цены на металл '!$S43+'Цены на металл '!$T43*2+6)/1000*7.85*'Цены на металл '!K$3*1.8*'Цены на металл '!K$4</f>
        <v>1503.3189600000001</v>
      </c>
      <c r="M42" s="140">
        <f>('Цены на металл '!$S43+'Цены на металл '!$T43*2+6)/1000*7.85*'Цены на металл '!L$3*1.8*'Цены на металл '!L$4</f>
        <v>2186.6457600000003</v>
      </c>
      <c r="N42" s="140">
        <f>('Цены на металл '!$S43+'Цены на металл '!$T43*2+6)/1000*7.85*'Цены на металл '!M$3*1.8*'Цены на металл '!M$4</f>
        <v>2733.3072000000002</v>
      </c>
      <c r="O42" s="140">
        <f>('Цены на металл '!$S43+'Цены на металл '!$T43*2+6)/1000*7.85*'Цены на металл '!N$3*1.8*'Цены на металл '!N$4</f>
        <v>3279.9686399999996</v>
      </c>
      <c r="P42" s="140">
        <f>('Цены на металл '!$S43+'Цены на металл '!$T43*2+6)/1000*7.85*'Цены на металл '!O$3*1.8*'Цены на металл '!O$4</f>
        <v>4099.9607999999998</v>
      </c>
    </row>
    <row r="43" spans="1:16">
      <c r="A43" s="10" t="s">
        <v>1095</v>
      </c>
      <c r="B43" s="818"/>
      <c r="C43" s="819"/>
      <c r="D43" s="93">
        <f>('Цены на металл '!$S44+'Цены на металл '!$T44*2+6)/1000*7.85*'Цены на металл '!C$3*1.25*'Цены на металл '!C$4</f>
        <v>289.88578124999998</v>
      </c>
      <c r="E43" s="93">
        <f>('Цены на металл '!$S44+'Цены на металл '!$T44*2+6)/1000*7.85*'Цены на металл '!D$3*1.25*'Цены на металл '!D$4</f>
        <v>347.86293750000004</v>
      </c>
      <c r="F43" s="93">
        <f>('Цены на металл '!$S44+'Цены на металл '!$T44*2+6)/1000*7.85*'Цены на металл '!E$3*1.25*'Цены на металл '!E$4</f>
        <v>425.16581250000002</v>
      </c>
      <c r="G43" s="93">
        <f>('Цены на металл '!$S44+'Цены на металл '!$T44*2+6)/1000*7.85*'Цены на металл '!F$3*1.25*'Цены на металл '!F$4</f>
        <v>541.12012499999992</v>
      </c>
      <c r="H43" s="93">
        <f>('Цены на металл '!$S44+'Цены на металл '!$T44*2+6)/1000*7.85*'Цены на металл '!G$3*1.25*'Цены на металл '!G$4</f>
        <v>756.97353749999979</v>
      </c>
      <c r="I43" s="124">
        <f>('Цены на металл '!$S44+'Цены на металл '!$T44*2+6)/1000*7.85*'Цены на металл '!H$3*('Цены на металл '!H$4*1.3)+('Цены на металл '!H$5*('Цены на металл '!$S44+'Цены на металл '!$T44*2+6)/1000*7.85*'Цены на металл '!H$3)</f>
        <v>620.087985</v>
      </c>
      <c r="J43" s="124">
        <f>('Цены на металл '!$S44+'Цены на металл '!$T44*2+6)/1000*7.85*'Цены на металл '!I$3*('Цены на металл '!I$4*1.3)+('Цены на металл '!I$5*('Цены на металл '!$S44+'Цены на металл '!$T44*2+6)/1000*7.85*'Цены на металл '!I$3)</f>
        <v>789.20288999999991</v>
      </c>
      <c r="K43" s="124">
        <f>('Цены на металл '!$S44+'Цены на металл '!$T44*2+6)/1000*7.85*'Цены на металл '!J$3*('Цены на металл '!J$4*1.3)+('Цены на металл '!J$5*('Цены на металл '!$S43+'Цены на металл '!$T43*2+6)/1000*7.85*'Цены на металл '!J$3)</f>
        <v>1299.74962</v>
      </c>
      <c r="L43" s="140">
        <f>('Цены на металл '!$S44+'Цены на металл '!$T44*2+6)/1000*7.85*'Цены на металл '!K$3*1.8*'Цены на металл '!K$4</f>
        <v>1130.2869599999999</v>
      </c>
      <c r="M43" s="140">
        <f>('Цены на металл '!$S44+'Цены на металл '!$T44*2+6)/1000*7.85*'Цены на металл '!L$3*1.8*'Цены на металл '!L$4</f>
        <v>1644.05376</v>
      </c>
      <c r="N43" s="140">
        <f>('Цены на металл '!$S44+'Цены на металл '!$T44*2+6)/1000*7.85*'Цены на металл '!M$3*1.8*'Цены на металл '!M$4</f>
        <v>2055.0672</v>
      </c>
      <c r="O43" s="140">
        <f>('Цены на металл '!$S44+'Цены на металл '!$T44*2+6)/1000*7.85*'Цены на металл '!N$3*1.8*'Цены на металл '!N$4</f>
        <v>2466.0806399999997</v>
      </c>
      <c r="P43" s="140">
        <f>('Цены на металл '!$S44+'Цены на металл '!$T44*2+6)/1000*7.85*'Цены на металл '!O$3*1.8*'Цены на металл '!O$4</f>
        <v>3082.6007999999997</v>
      </c>
    </row>
    <row r="44" spans="1:16">
      <c r="A44" s="10" t="s">
        <v>1096</v>
      </c>
      <c r="B44" s="818"/>
      <c r="C44" s="819"/>
      <c r="D44" s="93">
        <f>('Цены на металл '!$S45+'Цены на металл '!$T45*2+6)/1000*7.85*'Цены на металл '!C$3*1.25*'Цены на металл '!C$4</f>
        <v>299.45296874999997</v>
      </c>
      <c r="E44" s="93">
        <f>('Цены на металл '!$S45+'Цены на металл '!$T45*2+6)/1000*7.85*'Цены на металл '!D$3*1.25*'Цены на металл '!D$4</f>
        <v>359.34356249999996</v>
      </c>
      <c r="F44" s="93">
        <f>('Цены на металл '!$S45+'Цены на металл '!$T45*2+6)/1000*7.85*'Цены на металл '!E$3*1.25*'Цены на металл '!E$4</f>
        <v>439.19768749999997</v>
      </c>
      <c r="G44" s="93">
        <f>('Цены на металл '!$S45+'Цены на металл '!$T45*2+6)/1000*7.85*'Цены на металл '!F$3*1.25*'Цены на металл '!F$4</f>
        <v>558.97887500000002</v>
      </c>
      <c r="H44" s="93">
        <f>('Цены на металл '!$S45+'Цены на металл '!$T45*2+6)/1000*7.85*'Цены на металл '!G$3*1.25*'Цены на металл '!G$4</f>
        <v>781.95616249999989</v>
      </c>
      <c r="I44" s="124">
        <f>('Цены на металл '!$S45+'Цены на металл '!$T45*2+6)/1000*7.85*'Цены на металл '!H$3*('Цены на металл '!H$4*1.3)+('Цены на металл '!H$5*('Цены на металл '!$S45+'Цены на металл '!$T45*2+6)/1000*7.85*'Цены на металл '!H$3)</f>
        <v>640.55293499999993</v>
      </c>
      <c r="J44" s="124">
        <f>('Цены на металл '!$S45+'Цены на металл '!$T45*2+6)/1000*7.85*'Цены на металл '!I$3*('Цены на металл '!I$4*1.3)+('Цены на металл '!I$5*('Цены на металл '!$S45+'Цены на металл '!$T45*2+6)/1000*7.85*'Цены на металл '!I$3)</f>
        <v>815.24918999999989</v>
      </c>
      <c r="K44" s="124">
        <f>('Цены на металл '!$S45+'Цены на металл '!$T45*2+6)/1000*7.85*'Цены на металл '!J$3*('Цены на металл '!J$4*1.3)+('Цены на металл '!J$5*('Цены на металл '!$S44+'Цены на металл '!$T44*2+6)/1000*7.85*'Цены на металл '!J$3)</f>
        <v>1175.4370200000001</v>
      </c>
      <c r="L44" s="140">
        <f>('Цены на металл '!$S45+'Цены на металл '!$T45*2+6)/1000*7.85*'Цены на металл '!K$3*1.8*'Цены на металл '!K$4</f>
        <v>1167.59016</v>
      </c>
      <c r="M44" s="140">
        <f>('Цены на металл '!$S45+'Цены на металл '!$T45*2+6)/1000*7.85*'Цены на металл '!L$3*1.8*'Цены на металл '!L$4</f>
        <v>1698.31296</v>
      </c>
      <c r="N44" s="140">
        <f>('Цены на металл '!$S45+'Цены на металл '!$T45*2+6)/1000*7.85*'Цены на металл '!M$3*1.8*'Цены на металл '!M$4</f>
        <v>2122.8911999999996</v>
      </c>
      <c r="O44" s="140">
        <f>('Цены на металл '!$S45+'Цены на металл '!$T45*2+6)/1000*7.85*'Цены на металл '!N$3*1.8*'Цены на металл '!N$4</f>
        <v>2547.4694399999998</v>
      </c>
      <c r="P44" s="140">
        <f>('Цены на металл '!$S45+'Цены на металл '!$T45*2+6)/1000*7.85*'Цены на металл '!O$3*1.8*'Цены на металл '!O$4</f>
        <v>3184.3367999999996</v>
      </c>
    </row>
    <row r="45" spans="1:16">
      <c r="A45" s="10" t="s">
        <v>1097</v>
      </c>
      <c r="B45" s="818"/>
      <c r="C45" s="819"/>
      <c r="D45" s="93">
        <f>('Цены на металл '!$S46+'Цены на металл '!$T46*2+6)/1000*7.85*'Цены на металл '!C$3*1.25*'Цены на металл '!C$4</f>
        <v>304.23656249999999</v>
      </c>
      <c r="E45" s="93">
        <f>('Цены на металл '!$S46+'Цены на металл '!$T46*2+6)/1000*7.85*'Цены на металл '!D$3*1.25*'Цены на металл '!D$4</f>
        <v>365.08387499999998</v>
      </c>
      <c r="F45" s="93">
        <f>('Цены на металл '!$S46+'Цены на металл '!$T46*2+6)/1000*7.85*'Цены на металл '!E$3*1.25*'Цены на металл '!E$4</f>
        <v>446.21362499999998</v>
      </c>
      <c r="G45" s="93">
        <f>('Цены на металл '!$S46+'Цены на металл '!$T46*2+6)/1000*7.85*'Цены на металл '!F$3*1.25*'Цены на металл '!F$4</f>
        <v>567.90824999999984</v>
      </c>
      <c r="H45" s="93">
        <f>('Цены на металл '!$S46+'Цены на металл '!$T46*2+6)/1000*7.85*'Цены на металл '!G$3*1.25*'Цены на металл '!G$4</f>
        <v>794.44747499999994</v>
      </c>
      <c r="I45" s="124">
        <f>('Цены на металл '!$S46+'Цены на металл '!$T46*2+6)/1000*7.85*'Цены на металл '!H$3*('Цены на металл '!H$4*1.3)+('Цены на металл '!H$5*('Цены на металл '!$S46+'Цены на металл '!$T46*2+6)/1000*7.85*'Цены на металл '!H$3)</f>
        <v>650.78540999999996</v>
      </c>
      <c r="J45" s="124">
        <f>('Цены на металл '!$S46+'Цены на металл '!$T46*2+6)/1000*7.85*'Цены на металл '!I$3*('Цены на металл '!I$4*1.3)+('Цены на металл '!I$5*('Цены на металл '!$S46+'Цены на металл '!$T46*2+6)/1000*7.85*'Цены на металл '!I$3)</f>
        <v>828.27233999999987</v>
      </c>
      <c r="K45" s="124">
        <f>('Цены на металл '!$S46+'Цены на металл '!$T46*2+6)/1000*7.85*'Цены на металл '!J$3*('Цены на металл '!J$4*1.3)+('Цены на металл '!J$5*('Цены на металл '!$S45+'Цены на металл '!$T45*2+6)/1000*7.85*'Цены на металл '!J$3)</f>
        <v>1201.82872</v>
      </c>
      <c r="L45" s="140">
        <f>('Цены на металл '!$S46+'Цены на металл '!$T46*2+6)/1000*7.85*'Цены на металл '!K$3*1.8*'Цены на металл '!K$4</f>
        <v>1186.2417600000001</v>
      </c>
      <c r="M45" s="140">
        <f>('Цены на металл '!$S46+'Цены на металл '!$T46*2+6)/1000*7.85*'Цены на металл '!L$3*1.8*'Цены на металл '!L$4</f>
        <v>1725.44256</v>
      </c>
      <c r="N45" s="140">
        <f>('Цены на металл '!$S46+'Цены на металл '!$T46*2+6)/1000*7.85*'Цены на металл '!M$3*1.8*'Цены на металл '!M$4</f>
        <v>2156.8031999999998</v>
      </c>
      <c r="O45" s="140">
        <f>('Цены на металл '!$S46+'Цены на металл '!$T46*2+6)/1000*7.85*'Цены на металл '!N$3*1.8*'Цены на металл '!N$4</f>
        <v>2588.1638399999997</v>
      </c>
      <c r="P45" s="140">
        <f>('Цены на металл '!$S46+'Цены на металл '!$T46*2+6)/1000*7.85*'Цены на металл '!O$3*1.8*'Цены на металл '!O$4</f>
        <v>3235.2048</v>
      </c>
    </row>
    <row r="46" spans="1:16">
      <c r="A46" s="10" t="s">
        <v>1098</v>
      </c>
      <c r="B46" s="818"/>
      <c r="C46" s="819"/>
      <c r="D46" s="93">
        <f>('Цены на металл '!$S47+'Цены на металл '!$T47*2+6)/1000*7.85*'Цены на металл '!C$3*1.25*'Цены на металл '!C$4</f>
        <v>318.58734375000006</v>
      </c>
      <c r="E46" s="93">
        <f>('Цены на металл '!$S47+'Цены на металл '!$T47*2+6)/1000*7.85*'Цены на металл '!D$3*1.25*'Цены на металл '!D$4</f>
        <v>382.30481250000008</v>
      </c>
      <c r="F46" s="93">
        <f>('Цены на металл '!$S47+'Цены на металл '!$T47*2+6)/1000*7.85*'Цены на металл '!E$3*1.25*'Цены на металл '!E$4</f>
        <v>467.26143750000011</v>
      </c>
      <c r="G46" s="93">
        <f>('Цены на металл '!$S47+'Цены на металл '!$T47*2+6)/1000*7.85*'Цены на металл '!F$3*1.25*'Цены на металл '!F$4</f>
        <v>594.69637499999999</v>
      </c>
      <c r="H46" s="93">
        <f>('Цены на металл '!$S47+'Цены на металл '!$T47*2+6)/1000*7.85*'Цены на металл '!G$3*1.25*'Цены на металл '!G$4</f>
        <v>831.92141250000009</v>
      </c>
      <c r="I46" s="124">
        <f>('Цены на металл '!$S47+'Цены на металл '!$T47*2+6)/1000*7.85*'Цены на металл '!H$3*('Цены на металл '!H$4*1.3)+('Цены на металл '!H$5*('Цены на металл '!$S47+'Цены на металл '!$T47*2+6)/1000*7.85*'Цены на металл '!H$3)</f>
        <v>681.48283500000002</v>
      </c>
      <c r="J46" s="124">
        <f>('Цены на металл '!$S47+'Цены на металл '!$T47*2+6)/1000*7.85*'Цены на металл '!I$3*('Цены на металл '!I$4*1.3)+('Цены на металл '!I$5*('Цены на металл '!$S47+'Цены на металл '!$T47*2+6)/1000*7.85*'Цены на металл '!I$3)</f>
        <v>867.34178999999995</v>
      </c>
      <c r="K46" s="124">
        <f>('Цены на металл '!$S47+'Цены на металл '!$T47*2+6)/1000*7.85*'Цены на металл '!J$3*('Цены на металл '!J$4*1.3)+('Цены на металл '!J$5*('Цены на металл '!$S46+'Цены на металл '!$T46*2+6)/1000*7.85*'Цены на металл '!J$3)</f>
        <v>1244.1088200000002</v>
      </c>
      <c r="L46" s="140">
        <f>('Цены на металл '!$S47+'Цены на металл '!$T47*2+6)/1000*7.85*'Цены на металл '!K$3*1.8*'Цены на металл '!K$4</f>
        <v>1242.1965600000003</v>
      </c>
      <c r="M46" s="140">
        <f>('Цены на металл '!$S47+'Цены на металл '!$T47*2+6)/1000*7.85*'Цены на металл '!L$3*1.8*'Цены на металл '!L$4</f>
        <v>1806.8313600000004</v>
      </c>
      <c r="N46" s="140">
        <f>('Цены на металл '!$S47+'Цены на металл '!$T47*2+6)/1000*7.85*'Цены на металл '!M$3*1.8*'Цены на металл '!M$4</f>
        <v>2258.5392000000002</v>
      </c>
      <c r="O46" s="140">
        <f>('Цены на металл '!$S47+'Цены на металл '!$T47*2+6)/1000*7.85*'Цены на металл '!N$3*1.8*'Цены на металл '!N$4</f>
        <v>2710.2470399999997</v>
      </c>
      <c r="P46" s="140">
        <f>('Цены на металл '!$S47+'Цены на металл '!$T47*2+6)/1000*7.85*'Цены на металл '!O$3*1.8*'Цены на металл '!O$4</f>
        <v>3387.8088000000002</v>
      </c>
    </row>
    <row r="47" spans="1:16">
      <c r="A47" s="10" t="s">
        <v>1099</v>
      </c>
      <c r="B47" s="818"/>
      <c r="C47" s="819"/>
      <c r="D47" s="93">
        <f>('Цены на металл '!$S48+'Цены на металл '!$T48*2+6)/1000*7.85*'Цены на металл '!C$3*1.25*'Цены на металл '!C$4</f>
        <v>337.72171875000004</v>
      </c>
      <c r="E47" s="93">
        <f>('Цены на металл '!$S48+'Цены на металл '!$T48*2+6)/1000*7.85*'Цены на металл '!D$3*1.25*'Цены на металл '!D$4</f>
        <v>405.26606250000003</v>
      </c>
      <c r="F47" s="93">
        <f>('Цены на металл '!$S48+'Цены на металл '!$T48*2+6)/1000*7.85*'Цены на металл '!E$3*1.25*'Цены на металл '!E$4</f>
        <v>495.32518749999997</v>
      </c>
      <c r="G47" s="93">
        <f>('Цены на металл '!$S48+'Цены на металл '!$T48*2+6)/1000*7.85*'Цены на металл '!F$3*1.25*'Цены на металл '!F$4</f>
        <v>630.41387499999985</v>
      </c>
      <c r="H47" s="93">
        <f>('Цены на металл '!$S48+'Цены на металл '!$T48*2+6)/1000*7.85*'Цены на металл '!G$3*1.25*'Цены на металл '!G$4</f>
        <v>881.88666249999983</v>
      </c>
      <c r="I47" s="124">
        <f>('Цены на металл '!$S48+'Цены на металл '!$T48*2+6)/1000*7.85*'Цены на металл '!H$3*('Цены на металл '!H$4*1.3)+('Цены на металл '!H$5*('Цены на металл '!$S48+'Цены на металл '!$T48*2+6)/1000*7.85*'Цены на металл '!H$3)</f>
        <v>722.41273500000011</v>
      </c>
      <c r="J47" s="124">
        <f>('Цены на металл '!$S48+'Цены на металл '!$T48*2+6)/1000*7.85*'Цены на металл '!I$3*('Цены на металл '!I$4*1.3)+('Цены на металл '!I$5*('Цены на металл '!$S48+'Цены на металл '!$T48*2+6)/1000*7.85*'Цены на металл '!I$3)</f>
        <v>919.43438999999989</v>
      </c>
      <c r="K47" s="124">
        <f>('Цены на металл '!$S48+'Цены на металл '!$T48*2+6)/1000*7.85*'Цены на металл '!J$3*('Цены на металл '!J$4*1.3)+('Цены на металл '!J$5*('Цены на металл '!$S47+'Цены на металл '!$T47*2+6)/1000*7.85*'Цены на металл '!J$3)</f>
        <v>1312.78062</v>
      </c>
      <c r="L47" s="140">
        <f>('Цены на металл '!$S48+'Цены на металл '!$T48*2+6)/1000*7.85*'Цены на металл '!K$3*1.8*'Цены на металл '!K$4</f>
        <v>1316.80296</v>
      </c>
      <c r="M47" s="140">
        <f>('Цены на металл '!$S48+'Цены на металл '!$T48*2+6)/1000*7.85*'Цены на металл '!L$3*1.8*'Цены на металл '!L$4</f>
        <v>1915.3497599999998</v>
      </c>
      <c r="N47" s="140">
        <f>('Цены на металл '!$S48+'Цены на металл '!$T48*2+6)/1000*7.85*'Цены на металл '!M$3*1.8*'Цены на металл '!M$4</f>
        <v>2394.1872000000003</v>
      </c>
      <c r="O47" s="140">
        <f>('Цены на металл '!$S48+'Цены на металл '!$T48*2+6)/1000*7.85*'Цены на металл '!N$3*1.8*'Цены на металл '!N$4</f>
        <v>2873.0246399999996</v>
      </c>
      <c r="P47" s="140">
        <f>('Цены на металл '!$S48+'Цены на металл '!$T48*2+6)/1000*7.85*'Цены на металл '!O$3*1.8*'Цены на металл '!O$4</f>
        <v>3591.2808</v>
      </c>
    </row>
    <row r="48" spans="1:16">
      <c r="A48" s="10" t="s">
        <v>1100</v>
      </c>
      <c r="B48" s="818"/>
      <c r="C48" s="820"/>
      <c r="D48" s="823"/>
      <c r="E48" s="93">
        <f>('Цены на металл '!$S49+'Цены на металл '!$T49*2+6)/1000*7.85*'Цены на металл '!D$3*1.25*'Цены на металл '!D$4</f>
        <v>462.66918750000002</v>
      </c>
      <c r="F48" s="93">
        <f>('Цены на металл '!$S49+'Цены на металл '!$T49*2+6)/1000*7.85*'Цены на металл '!E$3*1.25*'Цены на металл '!E$4</f>
        <v>565.48456250000004</v>
      </c>
      <c r="G48" s="93">
        <f>('Цены на металл '!$S49+'Цены на металл '!$T49*2+6)/1000*7.85*'Цены на металл '!F$3*1.25*'Цены на металл '!F$4</f>
        <v>719.70762499999989</v>
      </c>
      <c r="H48" s="93">
        <f>('Цены на металл '!$S49+'Цены на металл '!$T49*2+6)/1000*7.85*'Цены на металл '!G$3*1.25*'Цены на металл '!G$4</f>
        <v>1006.7997874999999</v>
      </c>
      <c r="I48" s="124">
        <f>('Цены на металл '!$S49+'Цены на металл '!$T49*2+6)/1000*7.85*'Цены на металл '!H$3*('Цены на металл '!H$4*1.3)+('Цены на металл '!H$5*('Цены на металл '!$S49+'Цены на металл '!$T49*2+6)/1000*7.85*'Цены на металл '!H$3)</f>
        <v>824.73748499999999</v>
      </c>
      <c r="J48" s="124">
        <f>('Цены на металл '!$S49+'Цены на металл '!$T49*2+6)/1000*7.85*'Цены на металл '!I$3*('Цены на металл '!I$4*1.3)+('Цены на металл '!I$5*('Цены на металл '!$S49+'Цены на металл '!$T49*2+6)/1000*7.85*'Цены на металл '!I$3)</f>
        <v>1049.6658899999998</v>
      </c>
      <c r="K48" s="124">
        <f>('Цены на металл '!$S49+'Цены на металл '!$T49*2+6)/1000*7.85*'Цены на металл '!J$3*('Цены на металл '!J$4*1.3)+('Цены на металл '!J$5*('Цены на металл '!$S48+'Цены на металл '!$T48*2+6)/1000*7.85*'Цены на металл '!J$3)</f>
        <v>1458.6336200000001</v>
      </c>
      <c r="L48" s="140">
        <f>('Цены на металл '!$S49+'Цены на металл '!$T49*2+6)/1000*7.85*'Цены на металл '!K$3*1.8*'Цены на металл '!K$4</f>
        <v>1503.3189600000001</v>
      </c>
      <c r="M48" s="140">
        <f>('Цены на металл '!$S49+'Цены на металл '!$T49*2+6)/1000*7.85*'Цены на металл '!L$3*1.8*'Цены на металл '!L$4</f>
        <v>2186.6457600000003</v>
      </c>
      <c r="N48" s="140">
        <f>('Цены на металл '!$S49+'Цены на металл '!$T49*2+6)/1000*7.85*'Цены на металл '!M$3*1.8*'Цены на металл '!M$4</f>
        <v>2733.3072000000002</v>
      </c>
      <c r="O48" s="140">
        <f>('Цены на металл '!$S49+'Цены на металл '!$T49*2+6)/1000*7.85*'Цены на металл '!N$3*1.8*'Цены на металл '!N$4</f>
        <v>3279.9686399999996</v>
      </c>
      <c r="P48" s="140">
        <f>('Цены на металл '!$S49+'Цены на металл '!$T49*2+6)/1000*7.85*'Цены на металл '!O$3*1.8*'Цены на металл '!O$4</f>
        <v>4099.9607999999998</v>
      </c>
    </row>
    <row r="49" spans="1:16">
      <c r="A49" s="10" t="s">
        <v>1101</v>
      </c>
      <c r="B49" s="818"/>
      <c r="C49" s="820"/>
      <c r="D49" s="819"/>
      <c r="E49" s="93">
        <f>('Цены на металл '!$S50+'Цены на металл '!$T50*2+6)/1000*7.85*'Цены на металл '!D$3*1.25*'Цены на металл '!D$4</f>
        <v>520.07231250000007</v>
      </c>
      <c r="F49" s="93">
        <f>('Цены на металл '!$S50+'Цены на металл '!$T50*2+6)/1000*7.85*'Цены на металл '!E$3*1.25*'Цены на металл '!E$4</f>
        <v>635.64393750000011</v>
      </c>
      <c r="G49" s="93">
        <f>('Цены на металл '!$S50+'Цены на металл '!$T50*2+6)/1000*7.85*'Цены на металл '!F$3*1.25*'Цены на металл '!F$4</f>
        <v>809.00137500000005</v>
      </c>
      <c r="H49" s="93">
        <f>('Цены на металл '!$S50+'Цены на металл '!$T50*2+6)/1000*7.85*'Цены на металл '!G$3*1.25*'Цены на металл '!G$4</f>
        <v>1131.7129124999999</v>
      </c>
      <c r="I49" s="124">
        <f>('Цены на металл '!$S50+'Цены на металл '!$T50*2+6)/1000*7.85*'Цены на металл '!H$3*('Цены на металл '!H$4*1.3)+('Цены на металл '!H$5*('Цены на металл '!$S50+'Цены на металл '!$T50*2+6)/1000*7.85*'Цены на металл '!H$3)</f>
        <v>927.06223499999999</v>
      </c>
      <c r="J49" s="124">
        <f>('Цены на металл '!$S50+'Цены на металл '!$T50*2+6)/1000*7.85*'Цены на металл '!I$3*('Цены на металл '!I$4*1.3)+('Цены на металл '!I$5*('Цены на металл '!$S50+'Цены на металл '!$T50*2+6)/1000*7.85*'Цены на металл '!I$3)</f>
        <v>1179.8973899999999</v>
      </c>
      <c r="K49" s="124">
        <f>('Цены на металл '!$S50+'Цены на металл '!$T50*2+6)/1000*7.85*'Цены на металл '!J$3*('Цены на металл '!J$4*1.3)+('Цены на металл '!J$5*('Цены на металл '!$S49+'Цены на металл '!$T49*2+6)/1000*7.85*'Цены на металл '!J$3)</f>
        <v>1648.76062</v>
      </c>
      <c r="L49" s="140">
        <f>('Цены на металл '!$S50+'Цены на металл '!$T50*2+6)/1000*7.85*'Цены на металл '!K$3*1.8*'Цены на металл '!K$4</f>
        <v>1689.8349600000001</v>
      </c>
      <c r="M49" s="140">
        <f>('Цены на металл '!$S50+'Цены на металл '!$T50*2+6)/1000*7.85*'Цены на металл '!L$3*1.8*'Цены на металл '!L$4</f>
        <v>2457.9417600000002</v>
      </c>
      <c r="N49" s="140">
        <f>('Цены на металл '!$S50+'Цены на металл '!$T50*2+6)/1000*7.85*'Цены на металл '!M$3*1.8*'Цены на металл '!M$4</f>
        <v>3072.4272000000001</v>
      </c>
      <c r="O49" s="140">
        <f>('Цены на металл '!$S50+'Цены на металл '!$T50*2+6)/1000*7.85*'Цены на металл '!N$3*1.8*'Цены на металл '!N$4</f>
        <v>3686.9126399999996</v>
      </c>
      <c r="P49" s="140">
        <f>('Цены на металл '!$S50+'Цены на металл '!$T50*2+6)/1000*7.85*'Цены на металл '!O$3*1.8*'Цены на металл '!O$4</f>
        <v>4608.6408000000001</v>
      </c>
    </row>
    <row r="50" spans="1:16">
      <c r="A50" s="10" t="s">
        <v>1102</v>
      </c>
      <c r="B50" s="818"/>
      <c r="C50" s="820"/>
      <c r="D50" s="819"/>
      <c r="E50" s="93">
        <f>('Цены на металл '!$S51+'Цены на металл '!$T51*2+6)/1000*7.85*'Цены на металл '!D$3*1.25*'Цены на металл '!D$4</f>
        <v>405.26606250000003</v>
      </c>
      <c r="F50" s="93">
        <f>('Цены на металл '!$S51+'Цены на металл '!$T51*2+6)/1000*7.85*'Цены на металл '!E$3*1.25*'Цены на металл '!E$4</f>
        <v>495.32518749999997</v>
      </c>
      <c r="G50" s="93">
        <f>('Цены на металл '!$S51+'Цены на металл '!$T51*2+6)/1000*7.85*'Цены на металл '!F$3*1.25*'Цены на металл '!F$4</f>
        <v>630.41387499999985</v>
      </c>
      <c r="H50" s="93">
        <f>('Цены на металл '!$S51+'Цены на металл '!$T51*2+6)/1000*7.85*'Цены на металл '!G$3*1.25*'Цены на металл '!G$4</f>
        <v>881.88666249999983</v>
      </c>
      <c r="I50" s="124">
        <f>('Цены на металл '!$S51+'Цены на металл '!$T51*2+6)/1000*7.85*'Цены на металл '!H$3*('Цены на металл '!H$4*1.3)+('Цены на металл '!H$5*('Цены на металл '!$S51+'Цены на металл '!$T51*2+6)/1000*7.85*'Цены на металл '!H$3)</f>
        <v>722.41273500000011</v>
      </c>
      <c r="J50" s="124">
        <f>('Цены на металл '!$S51+'Цены на металл '!$T51*2+6)/1000*7.85*'Цены на металл '!I$3*('Цены на металл '!I$4*1.3)+('Цены на металл '!I$5*('Цены на металл '!$S51+'Цены на металл '!$T51*2+6)/1000*7.85*'Цены на металл '!I$3)</f>
        <v>919.43438999999989</v>
      </c>
      <c r="K50" s="124">
        <f>('Цены на металл '!$S51+'Цены на металл '!$T51*2+6)/1000*7.85*'Цены на металл '!J$3*('Цены на металл '!J$4*1.3)+('Цены на металл '!J$5*('Цены на металл '!$S50+'Цены на металл '!$T50*2+6)/1000*7.85*'Цены на металл '!J$3)</f>
        <v>1489.87662</v>
      </c>
      <c r="L50" s="140">
        <f>('Цены на металл '!$S51+'Цены на металл '!$T51*2+6)/1000*7.85*'Цены на металл '!K$3*1.8*'Цены на металл '!K$4</f>
        <v>1316.80296</v>
      </c>
      <c r="M50" s="140">
        <f>('Цены на металл '!$S51+'Цены на металл '!$T51*2+6)/1000*7.85*'Цены на металл '!L$3*1.8*'Цены на металл '!L$4</f>
        <v>1915.3497599999998</v>
      </c>
      <c r="N50" s="140">
        <f>('Цены на металл '!$S51+'Цены на металл '!$T51*2+6)/1000*7.85*'Цены на металл '!M$3*1.8*'Цены на металл '!M$4</f>
        <v>2394.1872000000003</v>
      </c>
      <c r="O50" s="140">
        <f>('Цены на металл '!$S51+'Цены на металл '!$T51*2+6)/1000*7.85*'Цены на металл '!N$3*1.8*'Цены на металл '!N$4</f>
        <v>2873.0246399999996</v>
      </c>
      <c r="P50" s="140">
        <f>('Цены на металл '!$S51+'Цены на металл '!$T51*2+6)/1000*7.85*'Цены на металл '!O$3*1.8*'Цены на металл '!O$4</f>
        <v>3591.2808</v>
      </c>
    </row>
    <row r="51" spans="1:16">
      <c r="A51" s="10" t="s">
        <v>1103</v>
      </c>
      <c r="B51" s="818"/>
      <c r="C51" s="820"/>
      <c r="D51" s="819"/>
      <c r="E51" s="93">
        <f>('Цены на металл '!$S52+'Цены на металл '!$T52*2+6)/1000*7.85*'Цены на металл '!D$3*1.25*'Цены на металл '!D$4</f>
        <v>439.70793750000001</v>
      </c>
      <c r="F51" s="93">
        <f>('Цены на металл '!$S52+'Цены на металл '!$T52*2+6)/1000*7.85*'Цены на металл '!E$3*1.25*'Цены на металл '!E$4</f>
        <v>537.42081250000012</v>
      </c>
      <c r="G51" s="93">
        <f>('Цены на металл '!$S52+'Цены на металл '!$T52*2+6)/1000*7.85*'Цены на металл '!F$3*1.25*'Цены на металл '!F$4</f>
        <v>683.99012499999992</v>
      </c>
      <c r="H51" s="93">
        <f>('Цены на металл '!$S52+'Цены на металл '!$T52*2+6)/1000*7.85*'Цены на металл '!G$3*1.25*'Цены на металл '!G$4</f>
        <v>956.8345374999999</v>
      </c>
      <c r="I51" s="124">
        <f>('Цены на металл '!$S52+'Цены на металл '!$T52*2+6)/1000*7.85*'Цены на металл '!H$3*('Цены на металл '!H$4*1.3)+('Цены на металл '!H$5*('Цены на металл '!$S52+'Цены на металл '!$T52*2+6)/1000*7.85*'Цены на металл '!H$3)</f>
        <v>783.80758500000002</v>
      </c>
      <c r="J51" s="124">
        <f>('Цены на металл '!$S52+'Цены на металл '!$T52*2+6)/1000*7.85*'Цены на металл '!I$3*('Цены на металл '!I$4*1.3)+('Цены на металл '!I$5*('Цены на металл '!$S52+'Цены на металл '!$T52*2+6)/1000*7.85*'Цены на металл '!I$3)</f>
        <v>997.57328999999993</v>
      </c>
      <c r="K51" s="124">
        <f>('Цены на металл '!$S52+'Цены на металл '!$T52*2+6)/1000*7.85*'Цены на металл '!J$3*('Цены на металл '!J$4*1.3)+('Цены на металл '!J$5*('Цены на металл '!$S51+'Цены на металл '!$T51*2+6)/1000*7.85*'Цены на металл '!J$3)</f>
        <v>1412.0988200000002</v>
      </c>
      <c r="L51" s="140">
        <f>('Цены на металл '!$S52+'Цены на металл '!$T52*2+6)/1000*7.85*'Цены на металл '!K$3*1.8*'Цены на металл '!K$4</f>
        <v>1428.7125600000002</v>
      </c>
      <c r="M51" s="140">
        <f>('Цены на металл '!$S52+'Цены на металл '!$T52*2+6)/1000*7.85*'Цены на металл '!L$3*1.8*'Цены на металл '!L$4</f>
        <v>2078.1273600000004</v>
      </c>
      <c r="N51" s="140">
        <f>('Цены на металл '!$S52+'Цены на металл '!$T52*2+6)/1000*7.85*'Цены на металл '!M$3*1.8*'Цены на металл '!M$4</f>
        <v>2597.6592000000001</v>
      </c>
      <c r="O51" s="140">
        <f>('Цены на металл '!$S52+'Цены на металл '!$T52*2+6)/1000*7.85*'Цены на металл '!N$3*1.8*'Цены на металл '!N$4</f>
        <v>3117.1910399999997</v>
      </c>
      <c r="P51" s="140">
        <f>('Цены на металл '!$S52+'Цены на металл '!$T52*2+6)/1000*7.85*'Цены на металл '!O$3*1.8*'Цены на металл '!O$4</f>
        <v>3896.4888000000001</v>
      </c>
    </row>
    <row r="52" spans="1:16">
      <c r="A52" s="10" t="s">
        <v>1104</v>
      </c>
      <c r="B52" s="818"/>
      <c r="C52" s="820"/>
      <c r="D52" s="819"/>
      <c r="E52" s="93">
        <f>('Цены на металл '!$S53+'Цены на металл '!$T53*2+6)/1000*7.85*'Цены на металл '!D$3*1.25*'Цены на металл '!D$4</f>
        <v>462.66918750000002</v>
      </c>
      <c r="F52" s="93">
        <f>('Цены на металл '!$S53+'Цены на металл '!$T53*2+6)/1000*7.85*'Цены на металл '!E$3*1.25*'Цены на металл '!E$4</f>
        <v>565.48456250000004</v>
      </c>
      <c r="G52" s="93">
        <f>('Цены на металл '!$S53+'Цены на металл '!$T53*2+6)/1000*7.85*'Цены на металл '!F$3*1.25*'Цены на металл '!F$4</f>
        <v>719.70762499999989</v>
      </c>
      <c r="H52" s="93">
        <f>('Цены на металл '!$S53+'Цены на металл '!$T53*2+6)/1000*7.85*'Цены на металл '!G$3*1.25*'Цены на металл '!G$4</f>
        <v>1006.7997874999999</v>
      </c>
      <c r="I52" s="124">
        <f>('Цены на металл '!$S53+'Цены на металл '!$T53*2+6)/1000*7.85*'Цены на металл '!H$3*('Цены на металл '!H$4*1.3)+('Цены на металл '!H$5*('Цены на металл '!$S53+'Цены на металл '!$T53*2+6)/1000*7.85*'Цены на металл '!H$3)</f>
        <v>824.73748499999999</v>
      </c>
      <c r="J52" s="124">
        <f>('Цены на металл '!$S53+'Цены на металл '!$T53*2+6)/1000*7.85*'Цены на металл '!I$3*('Цены на металл '!I$4*1.3)+('Цены на металл '!I$5*('Цены на металл '!$S53+'Цены на металл '!$T53*2+6)/1000*7.85*'Цены на металл '!I$3)</f>
        <v>1049.6658899999998</v>
      </c>
      <c r="K52" s="124">
        <f>('Цены на металл '!$S53+'Цены на металл '!$T53*2+6)/1000*7.85*'Цены на металл '!J$3*('Цены на металл '!J$4*1.3)+('Цены на металл '!J$5*('Цены на металл '!$S52+'Цены на металл '!$T52*2+6)/1000*7.85*'Цены на металл '!J$3)</f>
        <v>1502.90762</v>
      </c>
      <c r="L52" s="140">
        <f>('Цены на металл '!$S53+'Цены на металл '!$T53*2+6)/1000*7.85*'Цены на металл '!K$3*1.8*'Цены на металл '!K$4</f>
        <v>1503.3189600000001</v>
      </c>
      <c r="M52" s="140">
        <f>('Цены на металл '!$S53+'Цены на металл '!$T53*2+6)/1000*7.85*'Цены на металл '!L$3*1.8*'Цены на металл '!L$4</f>
        <v>2186.6457600000003</v>
      </c>
      <c r="N52" s="140">
        <f>('Цены на металл '!$S53+'Цены на металл '!$T53*2+6)/1000*7.85*'Цены на металл '!M$3*1.8*'Цены на металл '!M$4</f>
        <v>2733.3072000000002</v>
      </c>
      <c r="O52" s="140">
        <f>('Цены на металл '!$S53+'Цены на металл '!$T53*2+6)/1000*7.85*'Цены на металл '!N$3*1.8*'Цены на металл '!N$4</f>
        <v>3279.9686399999996</v>
      </c>
      <c r="P52" s="140">
        <f>('Цены на металл '!$S53+'Цены на металл '!$T53*2+6)/1000*7.85*'Цены на металл '!O$3*1.8*'Цены на металл '!O$4</f>
        <v>4099.9607999999998</v>
      </c>
    </row>
    <row r="53" spans="1:16">
      <c r="A53" s="10" t="s">
        <v>1105</v>
      </c>
      <c r="B53" s="818"/>
      <c r="C53" s="820"/>
      <c r="D53" s="819"/>
      <c r="E53" s="93">
        <f>('Цены на металл '!$S54+'Цены на металл '!$T54*2+6)/1000*7.85*'Цены на металл '!D$3*1.25*'Цены на металл '!D$4</f>
        <v>520.07231250000007</v>
      </c>
      <c r="F53" s="93">
        <f>('Цены на металл '!$S54+'Цены на металл '!$T54*2+6)/1000*7.85*'Цены на металл '!E$3*1.25*'Цены на металл '!E$4</f>
        <v>635.64393750000011</v>
      </c>
      <c r="G53" s="93">
        <f>('Цены на металл '!$S54+'Цены на металл '!$T54*2+6)/1000*7.85*'Цены на металл '!F$3*1.25*'Цены на металл '!F$4</f>
        <v>809.00137500000005</v>
      </c>
      <c r="H53" s="93">
        <f>('Цены на металл '!$S54+'Цены на металл '!$T54*2+6)/1000*7.85*'Цены на металл '!G$3*1.25*'Цены на металл '!G$4</f>
        <v>1131.7129124999999</v>
      </c>
      <c r="I53" s="124">
        <f>('Цены на металл '!$S54+'Цены на металл '!$T54*2+6)/1000*7.85*'Цены на металл '!H$3*('Цены на металл '!H$4*1.3)+('Цены на металл '!H$5*('Цены на металл '!$S54+'Цены на металл '!$T54*2+6)/1000*7.85*'Цены на металл '!H$3)</f>
        <v>927.06223499999999</v>
      </c>
      <c r="J53" s="124">
        <f>('Цены на металл '!$S54+'Цены на металл '!$T54*2+6)/1000*7.85*'Цены на металл '!I$3*('Цены на металл '!I$4*1.3)+('Цены на металл '!I$5*('Цены на металл '!$S54+'Цены на металл '!$T54*2+6)/1000*7.85*'Цены на металл '!I$3)</f>
        <v>1179.8973899999999</v>
      </c>
      <c r="K53" s="124">
        <f>('Цены на металл '!$S54+'Цены на металл '!$T54*2+6)/1000*7.85*'Цены на металл '!J$3*('Цены на металл '!J$4*1.3)+('Цены на металл '!J$5*('Цены на металл '!$S53+'Цены на металл '!$T53*2+6)/1000*7.85*'Цены на металл '!J$3)</f>
        <v>1648.76062</v>
      </c>
      <c r="L53" s="140">
        <f>('Цены на металл '!$S54+'Цены на металл '!$T54*2+6)/1000*7.85*'Цены на металл '!K$3*1.8*'Цены на металл '!K$4</f>
        <v>1689.8349600000001</v>
      </c>
      <c r="M53" s="140">
        <f>('Цены на металл '!$S54+'Цены на металл '!$T54*2+6)/1000*7.85*'Цены на металл '!L$3*1.8*'Цены на металл '!L$4</f>
        <v>2457.9417600000002</v>
      </c>
      <c r="N53" s="140">
        <f>('Цены на металл '!$S54+'Цены на металл '!$T54*2+6)/1000*7.85*'Цены на металл '!M$3*1.8*'Цены на металл '!M$4</f>
        <v>3072.4272000000001</v>
      </c>
      <c r="O53" s="140">
        <f>('Цены на металл '!$S54+'Цены на металл '!$T54*2+6)/1000*7.85*'Цены на металл '!N$3*1.8*'Цены на металл '!N$4</f>
        <v>3686.9126399999996</v>
      </c>
      <c r="P53" s="140">
        <f>('Цены на металл '!$S54+'Цены на металл '!$T54*2+6)/1000*7.85*'Цены на металл '!O$3*1.8*'Цены на металл '!O$4</f>
        <v>4608.6408000000001</v>
      </c>
    </row>
    <row r="54" spans="1:16">
      <c r="A54" s="10" t="s">
        <v>1106</v>
      </c>
      <c r="B54" s="821"/>
      <c r="C54" s="822"/>
      <c r="D54" s="824"/>
      <c r="E54" s="93">
        <f>('Цены на металл '!$S55+'Цены на металл '!$T55*2+6)/1000*7.85*'Цены на металл '!D$3*1.25*'Цены на металл '!D$4</f>
        <v>577.47543750000011</v>
      </c>
      <c r="F54" s="93">
        <f>('Цены на металл '!$S55+'Цены на металл '!$T55*2+6)/1000*7.85*'Цены на металл '!E$3*1.25*'Цены на металл '!E$4</f>
        <v>705.80331250000006</v>
      </c>
      <c r="G54" s="93">
        <f>('Цены на металл '!$S55+'Цены на металл '!$T55*2+6)/1000*7.85*'Цены на металл '!F$3*1.25*'Цены на металл '!F$4</f>
        <v>898.29512499999998</v>
      </c>
      <c r="H54" s="93">
        <f>('Цены на металл '!$S55+'Цены на металл '!$T55*2+6)/1000*7.85*'Цены на металл '!G$3*1.25*'Цены на металл '!G$4</f>
        <v>1256.6260374999999</v>
      </c>
      <c r="I54" s="124">
        <f>('Цены на металл '!$S55+'Цены на металл '!$T55*2+6)/1000*7.85*'Цены на металл '!H$3*('Цены на металл '!H$4*1.3)+('Цены на металл '!H$5*('Цены на металл '!$S55+'Цены на металл '!$T55*2+6)/1000*7.85*'Цены на металл '!H$3)</f>
        <v>1029.3869850000001</v>
      </c>
      <c r="J54" s="124">
        <f>('Цены на металл '!$S55+'Цены на металл '!$T55*2+6)/1000*7.85*'Цены на металл '!I$3*('Цены на металл '!I$4*1.3)+('Цены на металл '!I$5*('Цены на металл '!$S55+'Цены на металл '!$T55*2+6)/1000*7.85*'Цены на металл '!I$3)</f>
        <v>1310.12889</v>
      </c>
      <c r="K54" s="124">
        <f>('Цены на металл '!$S55+'Цены на металл '!$T55*2+6)/1000*7.85*'Цены на металл '!J$3*('Цены на металл '!J$4*1.3)+('Цены на металл '!J$5*('Цены на металл '!$S54+'Цены на металл '!$T54*2+6)/1000*7.85*'Цены на металл '!J$3)</f>
        <v>1838.88762</v>
      </c>
      <c r="L54" s="140">
        <f>('Цены на металл '!$S55+'Цены на металл '!$T55*2+6)/1000*7.85*'Цены на металл '!K$3*1.8*'Цены на металл '!K$4</f>
        <v>1876.3509600000004</v>
      </c>
      <c r="M54" s="140">
        <f>('Цены на металл '!$S55+'Цены на металл '!$T55*2+6)/1000*7.85*'Цены на металл '!L$3*1.8*'Цены на металл '!L$4</f>
        <v>2729.23776</v>
      </c>
      <c r="N54" s="140">
        <f>('Цены на металл '!$S55+'Цены на металл '!$T55*2+6)/1000*7.85*'Цены на металл '!M$3*1.8*'Цены на металл '!M$4</f>
        <v>3411.5472000000004</v>
      </c>
      <c r="O54" s="140">
        <f>('Цены на металл '!$S55+'Цены на металл '!$T55*2+6)/1000*7.85*'Цены на металл '!N$3*1.8*'Цены на металл '!N$4</f>
        <v>4093.8566399999995</v>
      </c>
      <c r="P54" s="140">
        <f>('Цены на металл '!$S55+'Цены на металл '!$T55*2+6)/1000*7.85*'Цены на металл '!O$3*1.8*'Цены на металл '!O$4</f>
        <v>5117.3207999999995</v>
      </c>
    </row>
    <row r="59" spans="1:16">
      <c r="A59" s="114"/>
    </row>
  </sheetData>
  <sheetProtection formatCells="0" formatColumns="0" formatRows="0" insertColumns="0" insertRows="0" insertHyperlinks="0" deleteColumns="0" deleteRows="0" sort="0" autoFilter="0" pivotTables="0"/>
  <mergeCells count="6">
    <mergeCell ref="B1:H1"/>
    <mergeCell ref="I1:K1"/>
    <mergeCell ref="L1:P1"/>
    <mergeCell ref="B24:B40"/>
    <mergeCell ref="B41:C54"/>
    <mergeCell ref="D48:D5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P54"/>
  <sheetViews>
    <sheetView zoomScale="115" zoomScaleNormal="115" workbookViewId="0">
      <pane xSplit="8" ySplit="2" topLeftCell="I3" activePane="bottomRight" state="frozen"/>
      <selection pane="topRight" activeCell="I1" sqref="I1"/>
      <selection pane="bottomLeft" activeCell="A6" sqref="A6"/>
      <selection pane="bottomRight" activeCell="L16" sqref="L16"/>
    </sheetView>
  </sheetViews>
  <sheetFormatPr defaultRowHeight="14.3"/>
  <cols>
    <col min="1" max="1" width="24.125" bestFit="1" customWidth="1"/>
    <col min="2" max="2" width="7" bestFit="1" customWidth="1"/>
    <col min="3" max="4" width="5.625" bestFit="1" customWidth="1"/>
    <col min="5" max="5" width="4.375" bestFit="1" customWidth="1"/>
    <col min="6" max="11" width="5.625" bestFit="1" customWidth="1"/>
    <col min="12" max="12" width="7" bestFit="1" customWidth="1"/>
    <col min="13" max="16" width="5.625" bestFit="1" customWidth="1"/>
  </cols>
  <sheetData>
    <row r="1" spans="1:16" ht="18.7" customHeight="1">
      <c r="A1" s="116" t="s">
        <v>2</v>
      </c>
      <c r="B1" s="808" t="s">
        <v>1188</v>
      </c>
      <c r="C1" s="809"/>
      <c r="D1" s="809"/>
      <c r="E1" s="809"/>
      <c r="F1" s="809"/>
      <c r="G1" s="809"/>
      <c r="H1" s="810"/>
      <c r="I1" s="811" t="s">
        <v>1189</v>
      </c>
      <c r="J1" s="812"/>
      <c r="K1" s="813"/>
      <c r="L1" s="814" t="s">
        <v>1190</v>
      </c>
      <c r="M1" s="815"/>
      <c r="N1" s="815"/>
      <c r="O1" s="815"/>
      <c r="P1" s="815"/>
    </row>
    <row r="2" spans="1:16" ht="18.7" customHeight="1">
      <c r="A2" s="11" t="s">
        <v>744</v>
      </c>
      <c r="B2" s="11">
        <v>0.55000000000000004</v>
      </c>
      <c r="C2" s="11">
        <v>0.7</v>
      </c>
      <c r="D2" s="11">
        <v>0.8</v>
      </c>
      <c r="E2" s="11">
        <v>1</v>
      </c>
      <c r="F2" s="11">
        <v>1.2</v>
      </c>
      <c r="G2" s="11">
        <v>1.5</v>
      </c>
      <c r="H2" s="11">
        <v>2</v>
      </c>
      <c r="I2" s="34">
        <v>1.2</v>
      </c>
      <c r="J2" s="34">
        <v>1.5</v>
      </c>
      <c r="K2" s="34">
        <v>2</v>
      </c>
      <c r="L2" s="36">
        <v>0.55000000000000004</v>
      </c>
      <c r="M2" s="36">
        <v>0.8</v>
      </c>
      <c r="N2" s="36">
        <v>1</v>
      </c>
      <c r="O2" s="36">
        <v>1.2</v>
      </c>
      <c r="P2" s="36">
        <v>1.5</v>
      </c>
    </row>
    <row r="3" spans="1:16">
      <c r="A3" s="10" t="s">
        <v>1158</v>
      </c>
      <c r="B3" s="93">
        <f>('Цены на металл '!$S3+'Цены на металл '!$T3*2+6)/1000*7.85*'Цены на металл '!A$3*1.36*'Цены на металл '!A$4</f>
        <v>43.718220000000002</v>
      </c>
      <c r="C3" s="93">
        <f>('Цены на металл '!$S3+'Цены на металл '!$T3*2+6)/1000*7.85*'Цены на металл '!B$3*1.25*'Цены на металл '!B$4</f>
        <v>52.236843749999998</v>
      </c>
      <c r="D3" s="93">
        <f>('Цены на металл '!$S3+'Цены на металл '!$T3*2+6)/1000*7.85*'Цены на металл '!C$3*1.25*'Цены на металл '!C$4</f>
        <v>60.273281249999997</v>
      </c>
      <c r="E3" s="93">
        <f>('Цены на металл '!$S3+'Цены на металл '!$T3*2+6)/1000*7.85*'Цены на металл '!D$3*1.25*'Цены на металл '!D$4</f>
        <v>72.327937500000004</v>
      </c>
      <c r="F3" s="93">
        <f>('Цены на металл '!$S3+'Цены на металл '!$T3*2+6)/1000*7.85*'Цены на металл '!E$3*1.25*'Цены на металл '!E$4</f>
        <v>88.400812500000015</v>
      </c>
      <c r="G3" s="93">
        <f>('Цены на металл '!$S3+'Цены на металл '!$T3*2+6)/1000*7.85*'Цены на металл '!F$3*1.25*'Цены на металл '!F$4</f>
        <v>112.51012499999999</v>
      </c>
      <c r="H3" s="93">
        <f>('Цены на металл '!$S3+'Цены на металл '!$T3*2+6)/1000*7.85*'Цены на металл '!G$3*1.25*'Цены на металл '!G$4</f>
        <v>157.39053749999999</v>
      </c>
      <c r="I3" s="124">
        <f>('Цены на металл '!$S3+'Цены на металл '!$T3*2+6)/1000*7.85*'Цены на металл '!H$3*('Цены на металл '!H$4*1.3)+('Цены на металл '!H$5*('Цены на металл '!$S3+'Цены на металл '!$T3*2+6)/1000*7.85*'Цены на металл '!H$3)</f>
        <v>128.92918500000002</v>
      </c>
      <c r="J3" s="124">
        <f>('Цены на металл '!$S3+'Цены на металл '!$T3*2+6)/1000*7.85*'Цены на металл '!I$3*('Цены на металл '!I$4*1.35)+('Цены на металл '!I$5*('Цены на металл '!$S3+'Цены на металл '!$T3*2+6)/1000*7.85*'Цены на металл '!I$3)</f>
        <v>167.89972499999999</v>
      </c>
      <c r="K3" s="124">
        <f>('Цены на металл '!$S3+'Цены на металл '!$T3*2+6)/1000*7.85*'Цены на металл '!J$3*('Цены на металл '!J$4*1.3)+('Цены на металл '!J$5*('Цены на металл '!$S3+'Цены на металл '!$T3*2+6)/1000*7.85*'Цены на металл '!J$3)</f>
        <v>239.56002000000001</v>
      </c>
      <c r="L3" s="140">
        <f>('Цены на металл '!$S3+'Цены на металл '!$T3*2+6)/1000*7.85*'Цены на металл '!K$3*1.8*'Цены на металл '!K$4</f>
        <v>235.01016000000001</v>
      </c>
      <c r="M3" s="140">
        <f>('Цены на металл '!$S3+'Цены на металл '!$T3*2+6)/1000*7.85*'Цены на металл '!L$3*1.8*'Цены на металл '!L$4</f>
        <v>341.83296000000001</v>
      </c>
      <c r="N3" s="140">
        <f>('Цены на металл '!$S3+'Цены на металл '!$T3*2+6)/1000*7.85*'Цены на металл '!M$3*1.8*'Цены на металл '!M$4</f>
        <v>427.2912</v>
      </c>
      <c r="O3" s="140">
        <f>('Цены на металл '!$S3+'Цены на металл '!$T3*2+6)/1000*7.85*'Цены на металл '!N$3*1.8*'Цены на металл '!N$4</f>
        <v>512.74943999999994</v>
      </c>
      <c r="P3" s="140">
        <f>('Цены на металл '!$S3+'Цены на металл '!$T3*2+6)/1000*7.85*'Цены на металл '!O$3*1.8*'Цены на металл '!O$4</f>
        <v>640.93680000000006</v>
      </c>
    </row>
    <row r="4" spans="1:16">
      <c r="A4" s="10" t="s">
        <v>1107</v>
      </c>
      <c r="B4" s="93">
        <f>('Цены на металл '!$S4+'Цены на металл '!$T4*2+6)/1000*7.85*'Цены на металл '!A$3*1.36*'Цены на металл '!A$4</f>
        <v>54.127320000000005</v>
      </c>
      <c r="C4" s="93">
        <f>('Цены на металл '!$S4+'Цены на металл '!$T4*2+6)/1000*7.85*'Цены на металл '!B$3*1.25*'Цены на металл '!B$4</f>
        <v>64.674187499999988</v>
      </c>
      <c r="D4" s="93">
        <f>('Цены на металл '!$S4+'Цены на металл '!$T4*2+6)/1000*7.85*'Цены на металл '!C$3*1.25*'Цены на металл '!C$4</f>
        <v>74.624062499999994</v>
      </c>
      <c r="E4" s="93">
        <f>('Цены на металл '!$S4+'Цены на металл '!$T4*2+6)/1000*7.85*'Цены на металл '!D$3*1.25*'Цены на металл '!D$4</f>
        <v>89.548874999999995</v>
      </c>
      <c r="F4" s="93">
        <f>('Цены на металл '!$S4+'Цены на металл '!$T4*2+6)/1000*7.85*'Цены на металл '!E$3*1.25*'Цены на металл '!E$4</f>
        <v>109.44862499999999</v>
      </c>
      <c r="G4" s="93">
        <f>('Цены на металл '!$S4+'Цены на металл '!$T4*2+6)/1000*7.85*'Цены на металл '!F$3*1.25*'Цены на металл '!F$4</f>
        <v>139.29824999999997</v>
      </c>
      <c r="H4" s="93">
        <f>('Цены на металл '!$S4+'Цены на металл '!$T4*2+6)/1000*7.85*'Цены на металл '!G$3*1.25*'Цены на металл '!G$4</f>
        <v>194.86447499999997</v>
      </c>
      <c r="I4" s="124">
        <f>('Цены на металл '!$S4+'Цены на металл '!$T4*2+6)/1000*7.85*'Цены на металл '!H$3*('Цены на металл '!H$4*1.3)+('Цены на металл '!H$5*('Цены на металл '!$S4+'Цены на металл '!$T4*2+6)/1000*7.85*'Цены на металл '!H$3)</f>
        <v>159.62661</v>
      </c>
      <c r="J4" s="124">
        <f>('Цены на металл '!$S4+'Цены на металл '!$T4*2+6)/1000*7.85*'Цены на металл '!I$3*('Цены на металл '!I$4*1.35)+('Цены на металл '!I$5*('Цены на металл '!$S4+'Цены на металл '!$T4*2+6)/1000*7.85*'Цены на металл '!I$3)</f>
        <v>207.87584999999996</v>
      </c>
      <c r="K4" s="124">
        <f>('Цены на металл '!$S4+'Цены на металл '!$T4*2+6)/1000*7.85*'Цены на металл '!J$3*('Цены на металл '!J$4*1.3)+('Цены на металл '!J$5*('Цены на металл '!$S4+'Цены на металл '!$T4*2+6)/1000*7.85*'Цены на металл '!J$3)</f>
        <v>296.59811999999999</v>
      </c>
      <c r="L4" s="140">
        <f>('Цены на металл '!$S4+'Цены на металл '!$T4*2+6)/1000*7.85*'Цены на металл '!K$3*1.8*'Цены на металл '!K$4</f>
        <v>290.96495999999996</v>
      </c>
      <c r="M4" s="140">
        <f>('Цены на металл '!$S4+'Цены на металл '!$T4*2+6)/1000*7.85*'Цены на металл '!L$3*1.8*'Цены на металл '!L$4</f>
        <v>423.22176000000002</v>
      </c>
      <c r="N4" s="140">
        <f>('Цены на металл '!$S4+'Цены на металл '!$T4*2+6)/1000*7.85*'Цены на металл '!M$3*1.8*'Цены на металл '!M$4</f>
        <v>529.02719999999999</v>
      </c>
      <c r="O4" s="140">
        <f>('Цены на металл '!$S4+'Цены на металл '!$T4*2+6)/1000*7.85*'Цены на металл '!N$3*1.8*'Цены на металл '!N$4</f>
        <v>634.83263999999997</v>
      </c>
      <c r="P4" s="140">
        <f>('Цены на металл '!$S4+'Цены на металл '!$T4*2+6)/1000*7.85*'Цены на металл '!O$3*1.8*'Цены на металл '!O$4</f>
        <v>793.54079999999999</v>
      </c>
    </row>
    <row r="5" spans="1:16">
      <c r="A5" s="10" t="s">
        <v>1108</v>
      </c>
      <c r="B5" s="93">
        <f>('Цены на металл '!$S5+'Цены на металл '!$T5*2+6)/1000*7.85*'Цены на металл '!A$3*1.36*'Цены на металл '!A$4</f>
        <v>61.066719999999997</v>
      </c>
      <c r="C5" s="93">
        <f>('Цены на металл '!$S5+'Цены на металл '!$T5*2+6)/1000*7.85*'Цены на металл '!B$3*1.25*'Цены на металл '!B$4</f>
        <v>72.96575</v>
      </c>
      <c r="D5" s="93">
        <f>('Цены на металл '!$S5+'Цены на металл '!$T5*2+6)/1000*7.85*'Цены на металл '!C$3*1.25*'Цены на металл '!C$4</f>
        <v>84.191249999999997</v>
      </c>
      <c r="E5" s="93">
        <f>('Цены на металл '!$S5+'Цены на металл '!$T5*2+6)/1000*7.85*'Цены на металл '!D$3*1.25*'Цены на металл '!D$4</f>
        <v>101.02949999999998</v>
      </c>
      <c r="F5" s="93">
        <f>('Цены на металл '!$S5+'Цены на металл '!$T5*2+6)/1000*7.85*'Цены на металл '!E$3*1.25*'Цены на металл '!E$4</f>
        <v>123.48049999999999</v>
      </c>
      <c r="G5" s="93">
        <f>('Цены на металл '!$S5+'Цены на металл '!$T5*2+6)/1000*7.85*'Цены на металл '!F$3*1.25*'Цены на металл '!F$4</f>
        <v>157.15699999999998</v>
      </c>
      <c r="H5" s="93">
        <f>('Цены на металл '!$S5+'Цены на металл '!$T5*2+6)/1000*7.85*'Цены на металл '!G$3*1.25*'Цены на металл '!G$4</f>
        <v>219.84709999999998</v>
      </c>
      <c r="I5" s="124">
        <f>('Цены на металл '!$S5+'Цены на металл '!$T5*2+6)/1000*7.85*'Цены на металл '!H$3*('Цены на металл '!H$4*1.3)+('Цены на металл '!H$5*('Цены на металл '!$S5+'Цены на металл '!$T5*2+6)/1000*7.85*'Цены на металл '!H$3)</f>
        <v>180.09156000000002</v>
      </c>
      <c r="J5" s="124">
        <f>('Цены на металл '!$S5+'Цены на металл '!$T5*2+6)/1000*7.85*'Цены на металл '!I$3*('Цены на металл '!I$4*1.35)+('Цены на металл '!I$5*('Цены на металл '!$S5+'Цены на металл '!$T5*2+6)/1000*7.85*'Цены на металл '!I$3)</f>
        <v>234.52659999999997</v>
      </c>
      <c r="K5" s="124">
        <f>('Цены на металл '!$S5+'Цены на металл '!$T5*2+6)/1000*7.85*'Цены на металл '!J$3*('Цены на металл '!J$4*1.3)+('Цены на металл '!J$5*('Цены на металл '!$S5+'Цены на металл '!$T5*2+6)/1000*7.85*'Цены на металл '!J$3)</f>
        <v>334.62351999999998</v>
      </c>
      <c r="L5" s="140">
        <f>('Цены на металл '!$S5+'Цены на металл '!$T5*2+6)/1000*7.85*'Цены на металл '!K$3*1.8*'Цены на металл '!K$4</f>
        <v>328.26816000000002</v>
      </c>
      <c r="M5" s="140">
        <f>('Цены на металл '!$S5+'Цены на металл '!$T5*2+6)/1000*7.85*'Цены на металл '!L$3*1.8*'Цены на металл '!L$4</f>
        <v>477.48096000000004</v>
      </c>
      <c r="N5" s="140">
        <f>('Цены на металл '!$S5+'Цены на металл '!$T5*2+6)/1000*7.85*'Цены на металл '!M$3*1.8*'Цены на металл '!M$4</f>
        <v>596.85119999999995</v>
      </c>
      <c r="O5" s="140">
        <f>('Цены на металл '!$S5+'Цены на металл '!$T5*2+6)/1000*7.85*'Цены на металл '!N$3*1.8*'Цены на металл '!N$4</f>
        <v>716.22143999999992</v>
      </c>
      <c r="P5" s="140">
        <f>('Цены на металл '!$S5+'Цены на металл '!$T5*2+6)/1000*7.85*'Цены на металл '!O$3*1.8*'Цены на металл '!O$4</f>
        <v>895.27680000000009</v>
      </c>
    </row>
    <row r="6" spans="1:16">
      <c r="A6" s="6" t="s">
        <v>1109</v>
      </c>
      <c r="B6" s="93">
        <f>('Цены на металл '!$S6+'Цены на металл '!$T6*2+6)/1000*7.85*'Цены на металл '!A$3*1.36*'Цены на металл '!A$4</f>
        <v>50.657620000000001</v>
      </c>
      <c r="C6" s="93">
        <f>('Цены на металл '!$S6+'Цены на металл '!$T6*2+6)/1000*7.85*'Цены на металл '!B$3*1.25*'Цены на металл '!B$4</f>
        <v>60.528406250000003</v>
      </c>
      <c r="D6" s="93">
        <f>('Цены на металл '!$S6+'Цены на металл '!$T6*2+6)/1000*7.85*'Цены на металл '!C$3*1.25*'Цены на металл '!C$4</f>
        <v>69.840468749999985</v>
      </c>
      <c r="E6" s="93">
        <f>('Цены на металл '!$S6+'Цены на металл '!$T6*2+6)/1000*7.85*'Цены на металл '!D$3*1.25*'Цены на металл '!D$4</f>
        <v>83.808562499999994</v>
      </c>
      <c r="F6" s="93">
        <f>('Цены на металл '!$S6+'Цены на металл '!$T6*2+6)/1000*7.85*'Цены на металл '!E$3*1.25*'Цены на металл '!E$4</f>
        <v>102.43268749999999</v>
      </c>
      <c r="G6" s="93">
        <f>('Цены на металл '!$S6+'Цены на металл '!$T6*2+6)/1000*7.85*'Цены на металл '!F$3*1.25*'Цены на металл '!F$4</f>
        <v>130.36887499999997</v>
      </c>
      <c r="H6" s="93">
        <f>('Цены на металл '!$S6+'Цены на металл '!$T6*2+6)/1000*7.85*'Цены на металл '!G$3*1.25*'Цены на металл '!G$4</f>
        <v>182.37316250000001</v>
      </c>
      <c r="I6" s="124">
        <f>('Цены на металл '!$S6+'Цены на металл '!$T6*2+6)/1000*7.85*'Цены на металл '!H$3*('Цены на металл '!H$4*1.3)+('Цены на металл '!H$5*('Цены на металл '!$S6+'Цены на металл '!$T6*2+6)/1000*7.85*'Цены на металл '!H$3)</f>
        <v>149.39413500000001</v>
      </c>
      <c r="J6" s="124">
        <f>('Цены на металл '!$S6+'Цены на металл '!$T6*2+6)/1000*7.85*'Цены на металл '!I$3*('Цены на металл '!I$4*1.35)+('Цены на металл '!I$5*('Цены на металл '!$S6+'Цены на металл '!$T6*2+6)/1000*7.85*'Цены на металл '!I$3)</f>
        <v>194.55047500000001</v>
      </c>
      <c r="K6" s="124">
        <f>('Цены на металл '!$S6+'Цены на металл '!$T6*2+6)/1000*7.85*'Цены на металл '!J$3*('Цены на металл '!J$4*1.3)+('Цены на металл '!J$5*('Цены на металл '!$S6+'Цены на металл '!$T6*2+6)/1000*7.85*'Цены на металл '!J$3)</f>
        <v>277.58542</v>
      </c>
      <c r="L6" s="140">
        <f>('Цены на металл '!$S6+'Цены на металл '!$T6*2+6)/1000*7.85*'Цены на металл '!K$3*1.8*'Цены на металл '!K$4</f>
        <v>272.31335999999999</v>
      </c>
      <c r="M6" s="140">
        <f>('Цены на металл '!$S6+'Цены на металл '!$T6*2+6)/1000*7.85*'Цены на металл '!L$3*1.8*'Цены на металл '!L$4</f>
        <v>396.09215999999998</v>
      </c>
      <c r="N6" s="140">
        <f>('Цены на металл '!$S6+'Цены на металл '!$T6*2+6)/1000*7.85*'Цены на металл '!M$3*1.8*'Цены на металл '!M$4</f>
        <v>495.11520000000002</v>
      </c>
      <c r="O6" s="140">
        <f>('Цены на металл '!$S6+'Цены на металл '!$T6*2+6)/1000*7.85*'Цены на металл '!N$3*1.8*'Цены на металл '!N$4</f>
        <v>594.13824</v>
      </c>
      <c r="P6" s="140">
        <f>('Цены на металл '!$S6+'Цены на металл '!$T6*2+6)/1000*7.85*'Цены на металл '!O$3*1.8*'Цены на металл '!O$4</f>
        <v>742.67279999999994</v>
      </c>
    </row>
    <row r="7" spans="1:16">
      <c r="A7" s="10" t="s">
        <v>1110</v>
      </c>
      <c r="B7" s="93">
        <f>('Цены на металл '!$S7+'Цены на металл '!$T7*2+6)/1000*7.85*'Цены на металл '!A$3*1.36*'Цены на металл '!A$4</f>
        <v>71.475819999999985</v>
      </c>
      <c r="C7" s="93">
        <f>('Цены на металл '!$S7+'Цены на металл '!$T7*2+6)/1000*7.85*'Цены на металл '!B$3*1.25*'Цены на металл '!B$4</f>
        <v>85.403093749999982</v>
      </c>
      <c r="D7" s="93">
        <f>('Цены на металл '!$S7+'Цены на металл '!$T7*2+6)/1000*7.85*'Цены на металл '!C$3*1.25*'Цены на металл '!C$4</f>
        <v>98.54203124999998</v>
      </c>
      <c r="E7" s="93">
        <f>('Цены на металл '!$S7+'Цены на металл '!$T7*2+6)/1000*7.85*'Цены на металл '!D$3*1.25*'Цены на металл '!D$4</f>
        <v>118.25043749999998</v>
      </c>
      <c r="F7" s="93">
        <f>('Цены на металл '!$S7+'Цены на металл '!$T7*2+6)/1000*7.85*'Цены на металл '!E$3*1.25*'Цены на металл '!E$4</f>
        <v>144.52831249999997</v>
      </c>
      <c r="G7" s="93">
        <f>('Цены на металл '!$S7+'Цены на металл '!$T7*2+6)/1000*7.85*'Цены на металл '!F$3*1.25*'Цены на металл '!F$4</f>
        <v>183.94512499999996</v>
      </c>
      <c r="H7" s="93">
        <f>('Цены на металл '!$S7+'Цены на металл '!$T7*2+6)/1000*7.85*'Цены на металл '!G$3*1.25*'Цены на металл '!G$4</f>
        <v>257.32103749999993</v>
      </c>
      <c r="I7" s="124">
        <f>('Цены на металл '!$S7+'Цены на металл '!$T7*2+6)/1000*7.85*'Цены на металл '!H$3*('Цены на металл '!H$4*1.3)+('Цены на металл '!H$5*('Цены на металл '!$S7+'Цены на металл '!$T7*2+6)/1000*7.85*'Цены на металл '!H$3)</f>
        <v>210.788985</v>
      </c>
      <c r="J7" s="124">
        <f>('Цены на металл '!$S7+'Цены на металл '!$T7*2+6)/1000*7.85*'Цены на металл '!I$3*('Цены на металл '!I$4*1.35)+('Цены на металл '!I$5*('Цены на металл '!$S7+'Цены на металл '!$T7*2+6)/1000*7.85*'Цены на металл '!I$3)</f>
        <v>274.50272499999994</v>
      </c>
      <c r="K7" s="124">
        <f>('Цены на металл '!$S7+'Цены на металл '!$T7*2+6)/1000*7.85*'Цены на металл '!J$3*('Цены на металл '!J$4*1.3)+('Цены на металл '!J$5*('Цены на металл '!$S7+'Цены на металл '!$T7*2+6)/1000*7.85*'Цены на металл '!J$3)</f>
        <v>391.66161999999997</v>
      </c>
      <c r="L7" s="140">
        <f>('Цены на металл '!$S7+'Цены на металл '!$T7*2+6)/1000*7.85*'Цены на металл '!K$3*1.8*'Цены на металл '!K$4</f>
        <v>384.22295999999994</v>
      </c>
      <c r="M7" s="140">
        <f>('Цены на металл '!$S7+'Цены на металл '!$T7*2+6)/1000*7.85*'Цены на металл '!L$3*1.8*'Цены на металл '!L$4</f>
        <v>558.86976000000004</v>
      </c>
      <c r="N7" s="140">
        <f>('Цены на металл '!$S7+'Цены на металл '!$T7*2+6)/1000*7.85*'Цены на металл '!M$3*1.8*'Цены на металл '!M$4</f>
        <v>698.58719999999983</v>
      </c>
      <c r="O7" s="140">
        <f>('Цены на металл '!$S7+'Цены на металл '!$T7*2+6)/1000*7.85*'Цены на металл '!N$3*1.8*'Цены на металл '!N$4</f>
        <v>838.30463999999984</v>
      </c>
      <c r="P7" s="140">
        <f>('Цены на металл '!$S7+'Цены на металл '!$T7*2+6)/1000*7.85*'Цены на металл '!O$3*1.8*'Цены на металл '!O$4</f>
        <v>1047.8807999999999</v>
      </c>
    </row>
    <row r="8" spans="1:16">
      <c r="A8" s="10" t="s">
        <v>1111</v>
      </c>
      <c r="B8" s="93">
        <f>('Цены на металл '!$S8+'Цены на металл '!$T8*2+6)/1000*7.85*'Цены на металл '!A$3*1.36*'Цены на металл '!A$4</f>
        <v>61.066719999999997</v>
      </c>
      <c r="C8" s="93">
        <f>('Цены на металл '!$S8+'Цены на металл '!$T8*2+6)/1000*7.85*'Цены на металл '!B$3*1.25*'Цены на металл '!B$4</f>
        <v>72.96575</v>
      </c>
      <c r="D8" s="93">
        <f>('Цены на металл '!$S8+'Цены на металл '!$T8*2+6)/1000*7.85*'Цены на металл '!C$3*1.25*'Цены на металл '!C$4</f>
        <v>84.191249999999997</v>
      </c>
      <c r="E8" s="93">
        <f>('Цены на металл '!$S8+'Цены на металл '!$T8*2+6)/1000*7.85*'Цены на металл '!D$3*1.25*'Цены на металл '!D$4</f>
        <v>101.02949999999998</v>
      </c>
      <c r="F8" s="93">
        <f>('Цены на металл '!$S8+'Цены на металл '!$T8*2+6)/1000*7.85*'Цены на металл '!E$3*1.25*'Цены на металл '!E$4</f>
        <v>123.48049999999999</v>
      </c>
      <c r="G8" s="93">
        <f>('Цены на металл '!$S8+'Цены на металл '!$T8*2+6)/1000*7.85*'Цены на металл '!F$3*1.25*'Цены на металл '!F$4</f>
        <v>157.15699999999998</v>
      </c>
      <c r="H8" s="93">
        <f>('Цены на металл '!$S8+'Цены на металл '!$T8*2+6)/1000*7.85*'Цены на металл '!G$3*1.25*'Цены на металл '!G$4</f>
        <v>219.84709999999998</v>
      </c>
      <c r="I8" s="124">
        <f>('Цены на металл '!$S8+'Цены на металл '!$T8*2+6)/1000*7.85*'Цены на металл '!H$3*('Цены на металл '!H$4*1.3)+('Цены на металл '!H$5*('Цены на металл '!$S8+'Цены на металл '!$T8*2+6)/1000*7.85*'Цены на металл '!H$3)</f>
        <v>180.09156000000002</v>
      </c>
      <c r="J8" s="124">
        <f>('Цены на металл '!$S8+'Цены на металл '!$T8*2+6)/1000*7.85*'Цены на металл '!I$3*('Цены на металл '!I$4*1.35)+('Цены на металл '!I$5*('Цены на металл '!$S8+'Цены на металл '!$T8*2+6)/1000*7.85*'Цены на металл '!I$3)</f>
        <v>234.52659999999997</v>
      </c>
      <c r="K8" s="124">
        <f>('Цены на металл '!$S8+'Цены на металл '!$T8*2+6)/1000*7.85*'Цены на металл '!J$3*('Цены на металл '!J$4*1.3)+('Цены на металл '!J$5*('Цены на металл '!$S8+'Цены на металл '!$T8*2+6)/1000*7.85*'Цены на металл '!J$3)</f>
        <v>334.62351999999998</v>
      </c>
      <c r="L8" s="140">
        <f>('Цены на металл '!$S8+'Цены на металл '!$T8*2+6)/1000*7.85*'Цены на металл '!K$3*1.8*'Цены на металл '!K$4</f>
        <v>328.26816000000002</v>
      </c>
      <c r="M8" s="140">
        <f>('Цены на металл '!$S8+'Цены на металл '!$T8*2+6)/1000*7.85*'Цены на металл '!L$3*1.8*'Цены на металл '!L$4</f>
        <v>477.48096000000004</v>
      </c>
      <c r="N8" s="140">
        <f>('Цены на металл '!$S8+'Цены на металл '!$T8*2+6)/1000*7.85*'Цены на металл '!M$3*1.8*'Цены на металл '!M$4</f>
        <v>596.85119999999995</v>
      </c>
      <c r="O8" s="140">
        <f>('Цены на металл '!$S8+'Цены на металл '!$T8*2+6)/1000*7.85*'Цены на металл '!N$3*1.8*'Цены на металл '!N$4</f>
        <v>716.22143999999992</v>
      </c>
      <c r="P8" s="140">
        <f>('Цены на металл '!$S8+'Цены на металл '!$T8*2+6)/1000*7.85*'Цены на металл '!O$3*1.8*'Цены на металл '!O$4</f>
        <v>895.27680000000009</v>
      </c>
    </row>
    <row r="9" spans="1:16">
      <c r="A9" s="10" t="s">
        <v>1112</v>
      </c>
      <c r="B9" s="93">
        <f>('Цены на металл '!$S9+'Цены на металл '!$T9*2+6)/1000*7.85*'Цены на металл '!A$3*1.36*'Цены на металл '!A$4</f>
        <v>78.415220000000005</v>
      </c>
      <c r="C9" s="93">
        <f>('Цены на металл '!$S9+'Цены на металл '!$T9*2+6)/1000*7.85*'Цены на металл '!B$3*1.25*'Цены на металл '!B$4</f>
        <v>93.694656249999994</v>
      </c>
      <c r="D9" s="93">
        <f>('Цены на металл '!$S9+'Цены на металл '!$T9*2+6)/1000*7.85*'Цены на металл '!C$3*1.25*'Цены на металл '!C$4</f>
        <v>108.10921875</v>
      </c>
      <c r="E9" s="93">
        <f>('Цены на металл '!$S9+'Цены на металл '!$T9*2+6)/1000*7.85*'Цены на металл '!D$3*1.25*'Цены на металл '!D$4</f>
        <v>129.73106249999998</v>
      </c>
      <c r="F9" s="93">
        <f>('Цены на металл '!$S9+'Цены на металл '!$T9*2+6)/1000*7.85*'Цены на металл '!E$3*1.25*'Цены на металл '!E$4</f>
        <v>158.56018750000001</v>
      </c>
      <c r="G9" s="93">
        <f>('Цены на металл '!$S9+'Цены на металл '!$T9*2+6)/1000*7.85*'Цены на металл '!F$3*1.25*'Цены на металл '!F$4</f>
        <v>201.80387500000001</v>
      </c>
      <c r="H9" s="93">
        <f>('Цены на металл '!$S9+'Цены на металл '!$T9*2+6)/1000*7.85*'Цены на металл '!G$3*1.25*'Цены на металл '!G$4</f>
        <v>282.30366250000003</v>
      </c>
      <c r="I9" s="124">
        <f>('Цены на металл '!$S9+'Цены на металл '!$T9*2+6)/1000*7.85*'Цены на металл '!H$3*('Цены на металл '!H$4*1.3)+('Цены на металл '!H$5*('Цены на металл '!$S9+'Цены на металл '!$T9*2+6)/1000*7.85*'Цены на металл '!H$3)</f>
        <v>231.25393500000001</v>
      </c>
      <c r="J9" s="124">
        <f>('Цены на металл '!$S9+'Цены на металл '!$T9*2+6)/1000*7.85*'Цены на металл '!I$3*('Цены на металл '!I$4*1.35)+('Цены на металл '!I$5*('Цены на металл '!$S9+'Цены на металл '!$T9*2+6)/1000*7.85*'Цены на металл '!I$3)</f>
        <v>301.15347500000001</v>
      </c>
      <c r="K9" s="124">
        <f>('Цены на металл '!$S9+'Цены на металл '!$T9*2+6)/1000*7.85*'Цены на металл '!J$3*('Цены на металл '!J$4*1.3)+('Цены на металл '!J$5*('Цены на металл '!$S9+'Цены на металл '!$T9*2+6)/1000*7.85*'Цены на металл '!J$3)</f>
        <v>429.68702000000002</v>
      </c>
      <c r="L9" s="140">
        <f>('Цены на металл '!$S9+'Цены на металл '!$T9*2+6)/1000*7.85*'Цены на металл '!K$3*1.8*'Цены на металл '!K$4</f>
        <v>421.52616</v>
      </c>
      <c r="M9" s="140">
        <f>('Цены на металл '!$S9+'Цены на металл '!$T9*2+6)/1000*7.85*'Цены на металл '!L$3*1.8*'Цены на металл '!L$4</f>
        <v>613.12896000000001</v>
      </c>
      <c r="N9" s="140">
        <f>('Цены на металл '!$S9+'Цены на металл '!$T9*2+6)/1000*7.85*'Цены на металл '!M$3*1.8*'Цены на металл '!M$4</f>
        <v>766.41120000000001</v>
      </c>
      <c r="O9" s="140">
        <f>('Цены на металл '!$S9+'Цены на металл '!$T9*2+6)/1000*7.85*'Цены на металл '!N$3*1.8*'Цены на металл '!N$4</f>
        <v>919.69344000000001</v>
      </c>
      <c r="P9" s="140">
        <f>('Цены на металл '!$S9+'Цены на металл '!$T9*2+6)/1000*7.85*'Цены на металл '!O$3*1.8*'Цены на металл '!O$4</f>
        <v>1149.6168</v>
      </c>
    </row>
    <row r="10" spans="1:16">
      <c r="A10" s="10" t="s">
        <v>1113</v>
      </c>
      <c r="B10" s="93">
        <f>('Цены на металл '!$S10+'Цены на металл '!$T10*2+6)/1000*7.85*'Цены на металл '!A$3*1.36*'Цены на металл '!A$4</f>
        <v>81.884919999999994</v>
      </c>
      <c r="C10" s="93">
        <f>('Цены на металл '!$S10+'Цены на металл '!$T10*2+6)/1000*7.85*'Цены на металл '!B$3*1.25*'Цены на металл '!B$4</f>
        <v>97.840437499999979</v>
      </c>
      <c r="D10" s="93">
        <f>('Цены на металл '!$S10+'Цены на металл '!$T10*2+6)/1000*7.85*'Цены на металл '!C$3*1.25*'Цены на металл '!C$4</f>
        <v>112.89281249999999</v>
      </c>
      <c r="E10" s="93">
        <f>('Цены на металл '!$S10+'Цены на металл '!$T10*2+6)/1000*7.85*'Цены на металл '!D$3*1.25*'Цены на металл '!D$4</f>
        <v>135.47137499999997</v>
      </c>
      <c r="F10" s="93">
        <f>('Цены на металл '!$S10+'Цены на металл '!$T10*2+6)/1000*7.85*'Цены на металл '!E$3*1.25*'Цены на металл '!E$4</f>
        <v>165.57612499999999</v>
      </c>
      <c r="G10" s="93">
        <f>('Цены на металл '!$S10+'Цены на металл '!$T10*2+6)/1000*7.85*'Цены на металл '!F$3*1.25*'Цены на металл '!F$4</f>
        <v>210.73325</v>
      </c>
      <c r="H10" s="93">
        <f>('Цены на металл '!$S10+'Цены на металл '!$T10*2+6)/1000*7.85*'Цены на металл '!G$3*1.25*'Цены на металл '!G$4</f>
        <v>294.79497499999997</v>
      </c>
      <c r="I10" s="124">
        <f>('Цены на металл '!$S10+'Цены на металл '!$T10*2+6)/1000*7.85*'Цены на металл '!H$3*('Цены на металл '!H$4*1.3)+('Цены на металл '!H$5*('Цены на металл '!$S10+'Цены на металл '!$T10*2+6)/1000*7.85*'Цены на металл '!H$3)</f>
        <v>241.48640999999998</v>
      </c>
      <c r="J10" s="124">
        <f>('Цены на металл '!$S10+'Цены на металл '!$T10*2+6)/1000*7.85*'Цены на металл '!I$3*('Цены на металл '!I$4*1.35)+('Цены на металл '!I$5*('Цены на металл '!$S10+'Цены на металл '!$T10*2+6)/1000*7.85*'Цены на металл '!I$3)</f>
        <v>314.47884999999997</v>
      </c>
      <c r="K10" s="124">
        <f>('Цены на металл '!$S10+'Цены на металл '!$T10*2+6)/1000*7.85*'Цены на металл '!J$3*('Цены на металл '!J$4*1.3)+('Цены на металл '!J$5*('Цены на металл '!$S10+'Цены на металл '!$T10*2+6)/1000*7.85*'Цены на металл '!J$3)</f>
        <v>448.69971999999996</v>
      </c>
      <c r="L10" s="140">
        <f>('Цены на металл '!$S10+'Цены на металл '!$T10*2+6)/1000*7.85*'Цены на металл '!K$3*1.8*'Цены на металл '!K$4</f>
        <v>440.17775999999992</v>
      </c>
      <c r="M10" s="140">
        <f>('Цены на металл '!$S10+'Цены на металл '!$T10*2+6)/1000*7.85*'Цены на металл '!L$3*1.8*'Цены на металл '!L$4</f>
        <v>640.25855999999999</v>
      </c>
      <c r="N10" s="140">
        <f>('Цены на металл '!$S10+'Цены на металл '!$T10*2+6)/1000*7.85*'Цены на металл '!M$3*1.8*'Цены на металл '!M$4</f>
        <v>800.32319999999993</v>
      </c>
      <c r="O10" s="140">
        <f>('Цены на металл '!$S10+'Цены на металл '!$T10*2+6)/1000*7.85*'Цены на металл '!N$3*1.8*'Цены на металл '!N$4</f>
        <v>960.38783999999987</v>
      </c>
      <c r="P10" s="140">
        <f>('Цены на металл '!$S10+'Цены на металл '!$T10*2+6)/1000*7.85*'Цены на металл '!O$3*1.8*'Цены на металл '!O$4</f>
        <v>1200.4848</v>
      </c>
    </row>
    <row r="11" spans="1:16">
      <c r="A11" s="10" t="s">
        <v>1114</v>
      </c>
      <c r="B11" s="93">
        <f>('Цены на металл '!$S11+'Цены на металл '!$T11*2+6)/1000*7.85*'Цены на металл '!A$3*1.36*'Цены на металл '!A$4</f>
        <v>92.294020000000003</v>
      </c>
      <c r="C11" s="93">
        <f>('Цены на металл '!$S11+'Цены на металл '!$T11*2+6)/1000*7.85*'Цены на металл '!B$3*1.25*'Цены на металл '!B$4</f>
        <v>110.27778124999999</v>
      </c>
      <c r="D11" s="93">
        <f>('Цены на металл '!$S11+'Цены на металл '!$T11*2+6)/1000*7.85*'Цены на металл '!C$3*1.25*'Цены на металл '!C$4</f>
        <v>127.24359374999999</v>
      </c>
      <c r="E11" s="93">
        <f>('Цены на металл '!$S11+'Цены на металл '!$T11*2+6)/1000*7.85*'Цены на металл '!D$3*1.25*'Цены на металл '!D$4</f>
        <v>152.69231249999999</v>
      </c>
      <c r="F11" s="93">
        <f>('Цены на металл '!$S11+'Цены на металл '!$T11*2+6)/1000*7.85*'Цены на металл '!E$3*1.25*'Цены на металл '!E$4</f>
        <v>186.62393750000001</v>
      </c>
      <c r="G11" s="93">
        <f>('Цены на металл '!$S11+'Цены на металл '!$T11*2+6)/1000*7.85*'Цены на металл '!F$3*1.25*'Цены на металл '!F$4</f>
        <v>237.52137499999998</v>
      </c>
      <c r="H11" s="93">
        <f>('Цены на металл '!$S11+'Цены на металл '!$T11*2+6)/1000*7.85*'Цены на металл '!G$3*1.25*'Цены на металл '!G$4</f>
        <v>332.26891249999994</v>
      </c>
      <c r="I11" s="124">
        <f>('Цены на металл '!$S11+'Цены на металл '!$T11*2+6)/1000*7.85*'Цены на металл '!H$3*('Цены на металл '!H$4*1.3)+('Цены на металл '!H$5*('Цены на металл '!$S11+'Цены на металл '!$T11*2+6)/1000*7.85*'Цены на металл '!H$3)</f>
        <v>272.18383499999999</v>
      </c>
      <c r="J11" s="124">
        <f>('Цены на металл '!$S11+'Цены на металл '!$T11*2+6)/1000*7.85*'Цены на металл '!I$3*('Цены на металл '!I$4*1.35)+('Цены на металл '!I$5*('Цены на металл '!$S11+'Цены на металл '!$T11*2+6)/1000*7.85*'Цены на металл '!I$3)</f>
        <v>354.45497499999999</v>
      </c>
      <c r="K11" s="124">
        <f>('Цены на металл '!$S11+'Цены на металл '!$T11*2+6)/1000*7.85*'Цены на металл '!J$3*('Цены на металл '!J$4*1.3)+('Цены на металл '!J$5*('Цены на металл '!$S11+'Цены на металл '!$T11*2+6)/1000*7.85*'Цены на металл '!J$3)</f>
        <v>505.73782000000006</v>
      </c>
      <c r="L11" s="140">
        <f>('Цены на металл '!$S11+'Цены на металл '!$T11*2+6)/1000*7.85*'Цены на металл '!K$3*1.8*'Цены на металл '!K$4</f>
        <v>496.13256000000001</v>
      </c>
      <c r="M11" s="140">
        <f>('Цены на металл '!$S11+'Цены на металл '!$T11*2+6)/1000*7.85*'Цены на металл '!L$3*1.8*'Цены на металл '!L$4</f>
        <v>721.64736000000005</v>
      </c>
      <c r="N11" s="140">
        <f>('Цены на металл '!$S11+'Цены на металл '!$T11*2+6)/1000*7.85*'Цены на металл '!M$3*1.8*'Цены на металл '!M$4</f>
        <v>902.05919999999992</v>
      </c>
      <c r="O11" s="140">
        <f>('Цены на металл '!$S11+'Цены на металл '!$T11*2+6)/1000*7.85*'Цены на металл '!N$3*1.8*'Цены на металл '!N$4</f>
        <v>1082.4710399999999</v>
      </c>
      <c r="P11" s="140">
        <f>('Цены на металл '!$S11+'Цены на металл '!$T11*2+6)/1000*7.85*'Цены на металл '!O$3*1.8*'Цены на металл '!O$4</f>
        <v>1353.0888</v>
      </c>
    </row>
    <row r="12" spans="1:16">
      <c r="A12" s="10" t="s">
        <v>1115</v>
      </c>
      <c r="B12" s="93">
        <f>('Цены на металл '!$S12+'Цены на металл '!$T12*2+6)/1000*7.85*'Цены на металл '!A$3*1.36*'Цены на металл '!A$4</f>
        <v>106.17282</v>
      </c>
      <c r="C12" s="93">
        <f>('Цены на металл '!$S12+'Цены на металл '!$T12*2+6)/1000*7.85*'Цены на металл '!B$3*1.25*'Цены на металл '!B$4</f>
        <v>126.86090625</v>
      </c>
      <c r="D12" s="93">
        <f>('Цены на металл '!$S12+'Цены на металл '!$T12*2+6)/1000*7.85*'Цены на металл '!C$3*1.25*'Цены на металл '!C$4</f>
        <v>146.37796875000001</v>
      </c>
      <c r="E12" s="93">
        <f>('Цены на металл '!$S12+'Цены на металл '!$T12*2+6)/1000*7.85*'Цены на металл '!D$3*1.25*'Цены на металл '!D$4</f>
        <v>175.65356249999999</v>
      </c>
      <c r="F12" s="93">
        <f>('Цены на металл '!$S12+'Цены на металл '!$T12*2+6)/1000*7.85*'Цены на металл '!E$3*1.25*'Цены на металл '!E$4</f>
        <v>214.68768750000001</v>
      </c>
      <c r="G12" s="93">
        <f>('Цены на металл '!$S12+'Цены на металл '!$T12*2+6)/1000*7.85*'Цены на металл '!F$3*1.25*'Цены на металл '!F$4</f>
        <v>273.23887499999995</v>
      </c>
      <c r="H12" s="93">
        <f>('Цены на металл '!$S12+'Цены на металл '!$T12*2+6)/1000*7.85*'Цены на металл '!G$3*1.25*'Цены на металл '!G$4</f>
        <v>382.23416249999997</v>
      </c>
      <c r="I12" s="124">
        <f>('Цены на металл '!$S12+'Цены на металл '!$T12*2+6)/1000*7.85*'Цены на металл '!H$3*('Цены на металл '!H$4*1.3)+('Цены на металл '!H$5*('Цены на металл '!$S12+'Цены на металл '!$T12*2+6)/1000*7.85*'Цены на металл '!H$3)</f>
        <v>313.11373500000002</v>
      </c>
      <c r="J12" s="124">
        <f>('Цены на металл '!$S12+'Цены на металл '!$T12*2+6)/1000*7.85*'Цены на металл '!I$3*('Цены на металл '!I$4*1.35)+('Цены на металл '!I$5*('Цены на металл '!$S12+'Цены на металл '!$T12*2+6)/1000*7.85*'Цены на металл '!I$3)</f>
        <v>407.75647499999991</v>
      </c>
      <c r="K12" s="124">
        <f>('Цены на металл '!$S12+'Цены на металл '!$T12*2+6)/1000*7.85*'Цены на металл '!J$3*('Цены на металл '!J$4*1.3)+('Цены на металл '!J$5*('Цены на металл '!$S12+'Цены на металл '!$T12*2+6)/1000*7.85*'Цены на металл '!J$3)</f>
        <v>581.78862000000004</v>
      </c>
      <c r="L12" s="140">
        <f>('Цены на металл '!$S12+'Цены на металл '!$T12*2+6)/1000*7.85*'Цены на металл '!K$3*1.8*'Цены на металл '!K$4</f>
        <v>570.73896000000002</v>
      </c>
      <c r="M12" s="140">
        <f>('Цены на металл '!$S12+'Цены на металл '!$T12*2+6)/1000*7.85*'Цены на металл '!L$3*1.8*'Цены на металл '!L$4</f>
        <v>830.16576000000009</v>
      </c>
      <c r="N12" s="140">
        <f>('Цены на металл '!$S12+'Цены на металл '!$T12*2+6)/1000*7.85*'Цены на металл '!M$3*1.8*'Цены на металл '!M$4</f>
        <v>1037.7072000000001</v>
      </c>
      <c r="O12" s="140">
        <f>('Цены на металл '!$S12+'Цены на металл '!$T12*2+6)/1000*7.85*'Цены на металл '!N$3*1.8*'Цены на металл '!N$4</f>
        <v>1245.24864</v>
      </c>
      <c r="P12" s="140">
        <f>('Цены на металл '!$S12+'Цены на металл '!$T12*2+6)/1000*7.85*'Цены на металл '!O$3*1.8*'Цены на металл '!O$4</f>
        <v>1556.5608</v>
      </c>
    </row>
    <row r="13" spans="1:16">
      <c r="A13" s="10" t="s">
        <v>1116</v>
      </c>
      <c r="B13" s="93">
        <f>('Цены на металл '!$S13+'Цены на металл '!$T13*2+6)/1000*7.85*'Цены на металл '!A$3*1.36*'Цены на металл '!A$4</f>
        <v>78.415220000000005</v>
      </c>
      <c r="C13" s="93">
        <f>('Цены на металл '!$S13+'Цены на металл '!$T13*2+6)/1000*7.85*'Цены на металл '!B$3*1.25*'Цены на металл '!B$4</f>
        <v>93.694656249999994</v>
      </c>
      <c r="D13" s="93">
        <f>('Цены на металл '!$S13+'Цены на металл '!$T13*2+6)/1000*7.85*'Цены на металл '!C$3*1.25*'Цены на металл '!C$4</f>
        <v>108.10921875</v>
      </c>
      <c r="E13" s="93">
        <f>('Цены на металл '!$S13+'Цены на металл '!$T13*2+6)/1000*7.85*'Цены на металл '!D$3*1.25*'Цены на металл '!D$4</f>
        <v>129.73106249999998</v>
      </c>
      <c r="F13" s="93">
        <f>('Цены на металл '!$S13+'Цены на металл '!$T13*2+6)/1000*7.85*'Цены на металл '!E$3*1.25*'Цены на металл '!E$4</f>
        <v>158.56018750000001</v>
      </c>
      <c r="G13" s="93">
        <f>('Цены на металл '!$S13+'Цены на металл '!$T13*2+6)/1000*7.85*'Цены на металл '!F$3*1.25*'Цены на металл '!F$4</f>
        <v>201.80387500000001</v>
      </c>
      <c r="H13" s="93">
        <f>('Цены на металл '!$S13+'Цены на металл '!$T13*2+6)/1000*7.85*'Цены на металл '!G$3*1.25*'Цены на металл '!G$4</f>
        <v>282.30366250000003</v>
      </c>
      <c r="I13" s="124">
        <f>('Цены на металл '!$S13+'Цены на металл '!$T13*2+6)/1000*7.85*'Цены на металл '!H$3*('Цены на металл '!H$4*1.3)+('Цены на металл '!H$5*('Цены на металл '!$S13+'Цены на металл '!$T13*2+6)/1000*7.85*'Цены на металл '!H$3)</f>
        <v>231.25393500000001</v>
      </c>
      <c r="J13" s="124">
        <f>('Цены на металл '!$S13+'Цены на металл '!$T13*2+6)/1000*7.85*'Цены на металл '!I$3*('Цены на металл '!I$4*1.35)+('Цены на металл '!I$5*('Цены на металл '!$S13+'Цены на металл '!$T13*2+6)/1000*7.85*'Цены на металл '!I$3)</f>
        <v>301.15347500000001</v>
      </c>
      <c r="K13" s="124">
        <f>('Цены на металл '!$S13+'Цены на металл '!$T13*2+6)/1000*7.85*'Цены на металл '!J$3*('Цены на металл '!J$4*1.3)+('Цены на металл '!J$5*('Цены на металл '!$S13+'Цены на металл '!$T13*2+6)/1000*7.85*'Цены на металл '!J$3)</f>
        <v>429.68702000000002</v>
      </c>
      <c r="L13" s="140">
        <f>('Цены на металл '!$S13+'Цены на металл '!$T13*2+6)/1000*7.85*'Цены на металл '!K$3*1.8*'Цены на металл '!K$4</f>
        <v>421.52616</v>
      </c>
      <c r="M13" s="140">
        <f>('Цены на металл '!$S13+'Цены на металл '!$T13*2+6)/1000*7.85*'Цены на металл '!L$3*1.8*'Цены на металл '!L$4</f>
        <v>613.12896000000001</v>
      </c>
      <c r="N13" s="140">
        <f>('Цены на металл '!$S13+'Цены на металл '!$T13*2+6)/1000*7.85*'Цены на металл '!M$3*1.8*'Цены на металл '!M$4</f>
        <v>766.41120000000001</v>
      </c>
      <c r="O13" s="140">
        <f>('Цены на металл '!$S13+'Цены на металл '!$T13*2+6)/1000*7.85*'Цены на металл '!N$3*1.8*'Цены на металл '!N$4</f>
        <v>919.69344000000001</v>
      </c>
      <c r="P13" s="140">
        <f>('Цены на металл '!$S13+'Цены на металл '!$T13*2+6)/1000*7.85*'Цены на металл '!O$3*1.8*'Цены на металл '!O$4</f>
        <v>1149.6168</v>
      </c>
    </row>
    <row r="14" spans="1:16">
      <c r="A14" s="10" t="s">
        <v>1117</v>
      </c>
      <c r="B14" s="93">
        <f>('Цены на металл '!$S14+'Цены на металл '!$T14*2+6)/1000*7.85*'Цены на металл '!A$3*1.36*'Цены на металл '!A$4</f>
        <v>88.82432</v>
      </c>
      <c r="C14" s="93">
        <f>('Цены на металл '!$S14+'Цены на металл '!$T14*2+6)/1000*7.85*'Цены на металл '!B$3*1.25*'Цены на металл '!B$4</f>
        <v>106.13199999999999</v>
      </c>
      <c r="D14" s="93">
        <f>('Цены на металл '!$S14+'Цены на металл '!$T14*2+6)/1000*7.85*'Цены на металл '!C$3*1.25*'Цены на металл '!C$4</f>
        <v>122.46</v>
      </c>
      <c r="E14" s="93">
        <f>('Цены на металл '!$S14+'Цены на металл '!$T14*2+6)/1000*7.85*'Цены на металл '!D$3*1.25*'Цены на металл '!D$4</f>
        <v>146.95199999999997</v>
      </c>
      <c r="F14" s="93">
        <f>('Цены на металл '!$S14+'Цены на металл '!$T14*2+6)/1000*7.85*'Цены на металл '!E$3*1.25*'Цены на металл '!E$4</f>
        <v>179.60800000000003</v>
      </c>
      <c r="G14" s="93">
        <f>('Цены на металл '!$S14+'Цены на металл '!$T14*2+6)/1000*7.85*'Цены на металл '!F$3*1.25*'Цены на металл '!F$4</f>
        <v>228.59199999999996</v>
      </c>
      <c r="H14" s="93">
        <f>('Цены на металл '!$S14+'Цены на металл '!$T14*2+6)/1000*7.85*'Цены на металл '!G$3*1.25*'Цены на металл '!G$4</f>
        <v>319.77759999999995</v>
      </c>
      <c r="I14" s="124">
        <f>('Цены на металл '!$S14+'Цены на металл '!$T14*2+6)/1000*7.85*'Цены на металл '!H$3*('Цены на металл '!H$4*1.3)+('Цены на металл '!H$5*('Цены на металл '!$S14+'Цены на металл '!$T14*2+6)/1000*7.85*'Цены на металл '!H$3)</f>
        <v>261.95136000000002</v>
      </c>
      <c r="J14" s="124">
        <f>('Цены на металл '!$S14+'Цены на металл '!$T14*2+6)/1000*7.85*'Цены на металл '!I$3*('Цены на металл '!I$4*1.35)+('Цены на металл '!I$5*('Цены на металл '!$S14+'Цены на металл '!$T14*2+6)/1000*7.85*'Цены на металл '!I$3)</f>
        <v>341.12959999999998</v>
      </c>
      <c r="K14" s="124">
        <f>('Цены на металл '!$S14+'Цены на металл '!$T14*2+6)/1000*7.85*'Цены на металл '!J$3*('Цены на металл '!J$4*1.3)+('Цены на металл '!J$5*('Цены на металл '!$S14+'Цены на металл '!$T14*2+6)/1000*7.85*'Цены на металл '!J$3)</f>
        <v>486.72512</v>
      </c>
      <c r="L14" s="140">
        <f>('Цены на металл '!$S14+'Цены на металл '!$T14*2+6)/1000*7.85*'Цены на металл '!K$3*1.8*'Цены на металл '!K$4</f>
        <v>477.48096000000004</v>
      </c>
      <c r="M14" s="140">
        <f>('Цены на металл '!$S14+'Цены на металл '!$T14*2+6)/1000*7.85*'Цены на металл '!L$3*1.8*'Цены на металл '!L$4</f>
        <v>694.51775999999995</v>
      </c>
      <c r="N14" s="140">
        <f>('Цены на металл '!$S14+'Цены на металл '!$T14*2+6)/1000*7.85*'Цены на металл '!M$3*1.8*'Цены на металл '!M$4</f>
        <v>868.14719999999988</v>
      </c>
      <c r="O14" s="140">
        <f>('Цены на металл '!$S14+'Цены на металл '!$T14*2+6)/1000*7.85*'Цены на металл '!N$3*1.8*'Цены на металл '!N$4</f>
        <v>1041.77664</v>
      </c>
      <c r="P14" s="140">
        <f>('Цены на металл '!$S14+'Цены на металл '!$T14*2+6)/1000*7.85*'Цены на металл '!O$3*1.8*'Цены на металл '!O$4</f>
        <v>1302.2207999999998</v>
      </c>
    </row>
    <row r="15" spans="1:16">
      <c r="A15" s="10" t="s">
        <v>1118</v>
      </c>
      <c r="B15" s="93">
        <f>('Цены на металл '!$S15+'Цены на металл '!$T15*2+6)/1000*7.85*'Цены на металл '!A$3*1.36*'Цены на металл '!A$4</f>
        <v>109.64252</v>
      </c>
      <c r="C15" s="93">
        <f>('Цены на металл '!$S15+'Цены на металл '!$T15*2+6)/1000*7.85*'Цены на металл '!B$3*1.25*'Цены на металл '!B$4</f>
        <v>131.0066875</v>
      </c>
      <c r="D15" s="93">
        <f>('Цены на металл '!$S15+'Цены на металл '!$T15*2+6)/1000*7.85*'Цены на металл '!C$3*1.25*'Цены на металл '!C$4</f>
        <v>151.16156249999997</v>
      </c>
      <c r="E15" s="93">
        <f>('Цены на металл '!$S15+'Цены на металл '!$T15*2+6)/1000*7.85*'Цены на металл '!D$3*1.25*'Цены на металл '!D$4</f>
        <v>181.39387500000001</v>
      </c>
      <c r="F15" s="93">
        <f>('Цены на металл '!$S15+'Цены на металл '!$T15*2+6)/1000*7.85*'Цены на металл '!E$3*1.25*'Цены на металл '!E$4</f>
        <v>221.70362499999999</v>
      </c>
      <c r="G15" s="93">
        <f>('Цены на металл '!$S15+'Цены на металл '!$T15*2+6)/1000*7.85*'Цены на металл '!F$3*1.25*'Цены на металл '!F$4</f>
        <v>282.16824999999994</v>
      </c>
      <c r="H15" s="93">
        <f>('Цены на металл '!$S15+'Цены на металл '!$T15*2+6)/1000*7.85*'Цены на металл '!G$3*1.25*'Цены на металл '!G$4</f>
        <v>394.72547499999996</v>
      </c>
      <c r="I15" s="124">
        <f>('Цены на металл '!$S15+'Цены на металл '!$T15*2+6)/1000*7.85*'Цены на металл '!H$3*('Цены на металл '!H$4*1.3)+('Цены на металл '!H$5*('Цены на металл '!$S15+'Цены на металл '!$T15*2+6)/1000*7.85*'Цены на металл '!H$3)</f>
        <v>323.34621000000004</v>
      </c>
      <c r="J15" s="124">
        <f>('Цены на металл '!$S15+'Цены на металл '!$T15*2+6)/1000*7.85*'Цены на металл '!I$3*('Цены на металл '!I$4*1.35)+('Цены на металл '!I$5*('Цены на металл '!$S15+'Цены на металл '!$T15*2+6)/1000*7.85*'Цены на металл '!I$3)</f>
        <v>421.08184999999997</v>
      </c>
      <c r="K15" s="124">
        <f>('Цены на металл '!$S15+'Цены на металл '!$T15*2+6)/1000*7.85*'Цены на металл '!J$3*('Цены на металл '!J$4*1.3)+('Цены на металл '!J$5*('Цены на металл '!$S15+'Цены на металл '!$T15*2+6)/1000*7.85*'Цены на металл '!J$3)</f>
        <v>600.80132000000003</v>
      </c>
      <c r="L15" s="140">
        <f>('Цены на металл '!$S15+'Цены на металл '!$T15*2+6)/1000*7.85*'Цены на металл '!K$3*1.8*'Цены на металл '!K$4</f>
        <v>589.39056000000005</v>
      </c>
      <c r="M15" s="140">
        <f>('Цены на металл '!$S15+'Цены на металл '!$T15*2+6)/1000*7.85*'Цены на металл '!L$3*1.8*'Цены на металл '!L$4</f>
        <v>857.29536000000007</v>
      </c>
      <c r="N15" s="140">
        <f>('Цены на металл '!$S15+'Цены на металл '!$T15*2+6)/1000*7.85*'Цены на металл '!M$3*1.8*'Цены на металл '!M$4</f>
        <v>1071.6192000000001</v>
      </c>
      <c r="O15" s="140">
        <f>('Цены на металл '!$S15+'Цены на металл '!$T15*2+6)/1000*7.85*'Цены на металл '!N$3*1.8*'Цены на металл '!N$4</f>
        <v>1285.9430399999999</v>
      </c>
      <c r="P15" s="140">
        <f>('Цены на металл '!$S15+'Цены на металл '!$T15*2+6)/1000*7.85*'Цены на металл '!O$3*1.8*'Цены на металл '!O$4</f>
        <v>1607.4287999999999</v>
      </c>
    </row>
    <row r="16" spans="1:16">
      <c r="A16" s="10" t="s">
        <v>1119</v>
      </c>
      <c r="B16" s="93">
        <f>('Цены на металл '!$S17+'Цены на металл '!$T17*2+6)/1000*7.85*'Цены на металл '!A$3*1.36*'Цены на металл '!A$4</f>
        <v>123.52131999999999</v>
      </c>
      <c r="C16" s="93">
        <f>('Цены на металл '!$S17+'Цены на металл '!$T17*2+6)/1000*7.85*'Цены на металл '!B$3*1.25*'Цены на металл '!B$4</f>
        <v>147.58981249999997</v>
      </c>
      <c r="D16" s="93">
        <f>('Цены на металл '!$S17+'Цены на металл '!$T17*2+6)/1000*7.85*'Цены на металл '!C$3*1.25*'Цены на металл '!C$4</f>
        <v>170.29593749999998</v>
      </c>
      <c r="E16" s="93">
        <f>('Цены на металл '!$S17+'Цены на металл '!$T17*2+6)/1000*7.85*'Цены на металл '!D$3*1.25*'Цены на металл '!D$4</f>
        <v>204.35512499999996</v>
      </c>
      <c r="F16" s="93">
        <f>('Цены на металл '!$S17+'Цены на металл '!$T17*2+6)/1000*7.85*'Цены на металл '!E$3*1.25*'Цены на металл '!E$4</f>
        <v>249.76737499999999</v>
      </c>
      <c r="G16" s="93">
        <f>('Цены на металл '!$S17+'Цены на металл '!$T17*2+6)/1000*7.85*'Цены на металл '!F$3*1.25*'Цены на металл '!F$4</f>
        <v>317.88574999999997</v>
      </c>
      <c r="H16" s="93">
        <f>('Цены на металл '!$S17+'Цены на металл '!$T17*2+6)/1000*7.85*'Цены на металл '!G$3*1.25*'Цены на металл '!G$4</f>
        <v>444.69072499999987</v>
      </c>
      <c r="I16" s="124">
        <f>('Цены на металл '!$S17+'Цены на металл '!$T17*2+6)/1000*7.85*'Цены на металл '!H$3*('Цены на металл '!H$4*1.3)+('Цены на металл '!H$5*('Цены на металл '!$S17+'Цены на металл '!$T17*2+6)/1000*7.85*'Цены на металл '!H$3)</f>
        <v>364.27611000000002</v>
      </c>
      <c r="J16" s="124">
        <f>('Цены на металл '!$S17+'Цены на металл '!$T17*2+6)/1000*7.85*'Цены на металл '!I$3*('Цены на металл '!I$4*1.3)+('Цены на металл '!I$5*('Цены на металл '!$S17+'Цены на металл '!$T17*2+6)/1000*7.85*'Цены на металл '!I$3)</f>
        <v>463.6241399999999</v>
      </c>
      <c r="K16" s="124">
        <f>('Цены на металл '!$S17+'Цены на металл '!$T17*2+6)/1000*7.85*'Цены на металл '!J$3*('Цены на металл '!J$4*1.3)+('Цены на металл '!J$5*('Цены на металл '!$S17+'Цены на металл '!$T17*2+6)/1000*7.85*'Цены на металл '!J$3)</f>
        <v>676.85212000000001</v>
      </c>
      <c r="L16" s="140">
        <f>('Цены на металл '!$S17+'Цены на металл '!$T17*2+6)/1000*7.85*'Цены на металл '!K$3*1.8*'Цены на металл '!K$4</f>
        <v>663.99695999999994</v>
      </c>
      <c r="M16" s="140">
        <f>('Цены на металл '!$S17+'Цены на металл '!$T17*2+6)/1000*7.85*'Цены на металл '!L$3*1.8*'Цены на металл '!L$4</f>
        <v>965.81376</v>
      </c>
      <c r="N16" s="140">
        <f>('Цены на металл '!$S17+'Цены на металл '!$T17*2+6)/1000*7.85*'Цены на металл '!M$3*1.8*'Цены на металл '!M$4</f>
        <v>1207.2671999999998</v>
      </c>
      <c r="O16" s="140">
        <f>('Цены на металл '!$S17+'Цены на металл '!$T17*2+6)/1000*7.85*'Цены на металл '!N$3*1.8*'Цены на металл '!N$4</f>
        <v>1448.7206399999995</v>
      </c>
      <c r="P16" s="140">
        <f>('Цены на металл '!$S17+'Цены на металл '!$T17*2+6)/1000*7.85*'Цены на металл '!O$3*1.8*'Цены на металл '!O$4</f>
        <v>1810.9007999999999</v>
      </c>
    </row>
    <row r="17" spans="1:16">
      <c r="A17" s="10" t="s">
        <v>1120</v>
      </c>
      <c r="B17" s="93">
        <f>('Цены на металл '!$S18+'Цены на металл '!$T18*2+6)/1000*7.85*'Цены на металл '!A$3*1.36*'Цены на металл '!A$4</f>
        <v>158.21832000000001</v>
      </c>
      <c r="C17" s="93">
        <f>('Цены на металл '!$S18+'Цены на металл '!$T18*2+6)/1000*7.85*'Цены на металл '!B$3*1.25*'Цены на металл '!B$4</f>
        <v>189.04762500000001</v>
      </c>
      <c r="D17" s="93">
        <f>('Цены на металл '!$S18+'Цены на металл '!$T18*2+6)/1000*7.85*'Цены на металл '!C$3*1.25*'Цены на металл '!C$4</f>
        <v>218.13187500000001</v>
      </c>
      <c r="E17" s="93">
        <f>('Цены на металл '!$S18+'Цены на металл '!$T18*2+6)/1000*7.85*'Цены на металл '!D$3*1.25*'Цены на металл '!D$4</f>
        <v>261.75824999999998</v>
      </c>
      <c r="F17" s="93">
        <f>('Цены на металл '!$S18+'Цены на металл '!$T18*2+6)/1000*7.85*'Цены на металл '!E$3*1.25*'Цены на металл '!E$4</f>
        <v>319.92675000000003</v>
      </c>
      <c r="G17" s="93">
        <f>('Цены на металл '!$S18+'Цены на металл '!$T18*2+6)/1000*7.85*'Цены на металл '!F$3*1.25*'Цены на металл '!F$4</f>
        <v>407.17949999999996</v>
      </c>
      <c r="H17" s="93">
        <f>('Цены на металл '!$S18+'Цены на металл '!$T18*2+6)/1000*7.85*'Цены на металл '!G$3*1.25*'Цены на металл '!G$4</f>
        <v>569.60384999999997</v>
      </c>
      <c r="I17" s="124">
        <f>('Цены на металл '!$S18+'Цены на металл '!$T18*2+6)/1000*7.85*'Цены на металл '!H$3*('Цены на металл '!H$4*1.3)+('Цены на металл '!H$5*('Цены на металл '!$S18+'Цены на металл '!$T18*2+6)/1000*7.85*'Цены на металл '!H$3)</f>
        <v>466.60086000000001</v>
      </c>
      <c r="J17" s="124">
        <f>('Цены на металл '!$S18+'Цены на металл '!$T18*2+6)/1000*7.85*'Цены на металл '!I$3*('Цены на металл '!I$4*1.35)+('Цены на металл '!I$5*('Цены на металл '!$S18+'Цены на металл '!$T18*2+6)/1000*7.85*'Цены на металл '!I$3)</f>
        <v>607.63709999999992</v>
      </c>
      <c r="K17" s="124">
        <f>('Цены на металл '!$S18+'Цены на металл '!$T18*2+6)/1000*7.85*'Цены на металл '!J$3*('Цены на металл '!J$4*1.3)+('Цены на металл '!J$5*('Цены на металл '!$S18+'Цены на металл '!$T18*2+6)/1000*7.85*'Цены на металл '!J$3)</f>
        <v>866.97912000000008</v>
      </c>
      <c r="L17" s="140">
        <f>('Цены на металл '!$S18+'Цены на металл '!$T18*2+6)/1000*7.85*'Цены на металл '!K$3*1.8*'Цены на металл '!K$4</f>
        <v>850.51296000000013</v>
      </c>
      <c r="M17" s="140">
        <f>('Цены на металл '!$S18+'Цены на металл '!$T18*2+6)/1000*7.85*'Цены на металл '!L$3*1.8*'Цены на металл '!L$4</f>
        <v>1237.1097600000003</v>
      </c>
      <c r="N17" s="140">
        <f>('Цены на металл '!$S18+'Цены на металл '!$T18*2+6)/1000*7.85*'Цены на металл '!M$3*1.8*'Цены на металл '!M$4</f>
        <v>1546.3872000000001</v>
      </c>
      <c r="O17" s="140">
        <f>('Цены на металл '!$S18+'Цены на металл '!$T18*2+6)/1000*7.85*'Цены на металл '!N$3*1.8*'Цены на металл '!N$4</f>
        <v>1855.66464</v>
      </c>
      <c r="P17" s="140">
        <f>('Цены на металл '!$S18+'Цены на металл '!$T18*2+6)/1000*7.85*'Цены на металл '!O$3*1.8*'Цены на металл '!O$4</f>
        <v>2319.5808000000006</v>
      </c>
    </row>
    <row r="18" spans="1:16">
      <c r="A18" s="10" t="s">
        <v>1121</v>
      </c>
      <c r="B18" s="93">
        <f>('Цены на металл '!$S19+'Цены на металл '!$T19*2+6)/1000*7.85*'Цены на металл '!A$3*1.36*'Цены на металл '!A$4</f>
        <v>95.763720000000021</v>
      </c>
      <c r="C18" s="93">
        <f>('Цены на металл '!$S19+'Цены на металл '!$T19*2+6)/1000*7.85*'Цены на металл '!B$3*1.25*'Цены на металл '!B$4</f>
        <v>114.42356250000002</v>
      </c>
      <c r="D18" s="93">
        <f>('Цены на металл '!$S19+'Цены на металл '!$T19*2+6)/1000*7.85*'Цены на металл '!C$3*1.25*'Цены на металл '!C$4</f>
        <v>132.0271875</v>
      </c>
      <c r="E18" s="93">
        <f>('Цены на металл '!$S19+'Цены на металл '!$T19*2+6)/1000*7.85*'Цены на металл '!D$3*1.25*'Цены на металл '!D$4</f>
        <v>158.432625</v>
      </c>
      <c r="F18" s="93">
        <f>('Цены на металл '!$S19+'Цены на металл '!$T19*2+6)/1000*7.85*'Цены на металл '!E$3*1.25*'Цены на металл '!E$4</f>
        <v>193.63987500000002</v>
      </c>
      <c r="G18" s="93">
        <f>('Цены на металл '!$S19+'Цены на металл '!$T19*2+6)/1000*7.85*'Цены на металл '!F$3*1.25*'Цены на металл '!F$4</f>
        <v>246.45075</v>
      </c>
      <c r="H18" s="93">
        <f>('Цены на металл '!$S19+'Цены на металл '!$T19*2+6)/1000*7.85*'Цены на металл '!G$3*1.25*'Цены на металл '!G$4</f>
        <v>344.76022500000005</v>
      </c>
      <c r="I18" s="124">
        <f>('Цены на металл '!$S19+'Цены на металл '!$T19*2+6)/1000*7.85*'Цены на металл '!H$3*('Цены на металл '!H$4*1.3)+('Цены на металл '!H$5*('Цены на металл '!$S19+'Цены на металл '!$T19*2+6)/1000*7.85*'Цены на металл '!H$3)</f>
        <v>282.41631000000001</v>
      </c>
      <c r="J18" s="124">
        <f>('Цены на металл '!$S19+'Цены на металл '!$T19*2+6)/1000*7.85*'Цены на металл '!I$3*('Цены на металл '!I$4*1.35)+('Цены на металл '!I$5*('Цены на металл '!$S19+'Цены на металл '!$T19*2+6)/1000*7.85*'Цены на металл '!I$3)</f>
        <v>367.78035</v>
      </c>
      <c r="K18" s="124">
        <f>('Цены на металл '!$S19+'Цены на металл '!$T19*2+6)/1000*7.85*'Цены на металл '!J$3*('Цены на металл '!J$4*1.3)+('Цены на металл '!J$5*('Цены на металл '!$S19+'Цены на металл '!$T19*2+6)/1000*7.85*'Цены на металл '!J$3)</f>
        <v>524.75052000000005</v>
      </c>
      <c r="L18" s="140">
        <f>('Цены на металл '!$S19+'Цены на металл '!$T19*2+6)/1000*7.85*'Цены на металл '!K$3*1.8*'Цены на металл '!K$4</f>
        <v>514.78416000000016</v>
      </c>
      <c r="M18" s="140">
        <f>('Цены на металл '!$S19+'Цены на металл '!$T19*2+6)/1000*7.85*'Цены на металл '!L$3*1.8*'Цены на металл '!L$4</f>
        <v>748.77696000000026</v>
      </c>
      <c r="N18" s="140">
        <f>('Цены на металл '!$S19+'Цены на металл '!$T19*2+6)/1000*7.85*'Цены на металл '!M$3*1.8*'Цены на металл '!M$4</f>
        <v>935.97120000000007</v>
      </c>
      <c r="O18" s="140">
        <f>('Цены на металл '!$S19+'Цены на металл '!$T19*2+6)/1000*7.85*'Цены на металл '!N$3*1.8*'Цены на металл '!N$4</f>
        <v>1123.1654400000002</v>
      </c>
      <c r="P18" s="140">
        <f>('Цены на металл '!$S19+'Цены на металл '!$T19*2+6)/1000*7.85*'Цены на металл '!O$3*1.8*'Цены на металл '!O$4</f>
        <v>1403.9568000000002</v>
      </c>
    </row>
    <row r="19" spans="1:16">
      <c r="A19" s="10" t="s">
        <v>1122</v>
      </c>
      <c r="B19" s="93">
        <f>('Цены на металл '!$S20+'Цены на металл '!$T20*2+6)/1000*7.85*'Цены на металл '!A$3*1.36*'Цены на металл '!A$4</f>
        <v>106.17282</v>
      </c>
      <c r="C19" s="93">
        <f>('Цены на металл '!$S20+'Цены на металл '!$T20*2+6)/1000*7.85*'Цены на металл '!B$3*1.25*'Цены на металл '!B$4</f>
        <v>126.86090625</v>
      </c>
      <c r="D19" s="93">
        <f>('Цены на металл '!$S20+'Цены на металл '!$T20*2+6)/1000*7.85*'Цены на металл '!C$3*1.25*'Цены на металл '!C$4</f>
        <v>146.37796875000001</v>
      </c>
      <c r="E19" s="93">
        <f>('Цены на металл '!$S20+'Цены на металл '!$T20*2+6)/1000*7.85*'Цены на металл '!D$3*1.25*'Цены на металл '!D$4</f>
        <v>175.65356249999999</v>
      </c>
      <c r="F19" s="93">
        <f>('Цены на металл '!$S20+'Цены на металл '!$T20*2+6)/1000*7.85*'Цены на металл '!E$3*1.25*'Цены на металл '!E$4</f>
        <v>214.68768750000001</v>
      </c>
      <c r="G19" s="93">
        <f>('Цены на металл '!$S20+'Цены на металл '!$T20*2+6)/1000*7.85*'Цены на металл '!F$3*1.25*'Цены на металл '!F$4</f>
        <v>273.23887499999995</v>
      </c>
      <c r="H19" s="93">
        <f>('Цены на металл '!$S20+'Цены на металл '!$T20*2+6)/1000*7.85*'Цены на металл '!G$3*1.25*'Цены на металл '!G$4</f>
        <v>382.23416249999997</v>
      </c>
      <c r="I19" s="124">
        <f>('Цены на металл '!$S20+'Цены на металл '!$T20*2+6)/1000*7.85*'Цены на металл '!H$3*('Цены на металл '!H$4*1.3)+('Цены на металл '!H$5*('Цены на металл '!$S20+'Цены на металл '!$T20*2+6)/1000*7.85*'Цены на металл '!H$3)</f>
        <v>313.11373500000002</v>
      </c>
      <c r="J19" s="124">
        <f>('Цены на металл '!$S20+'Цены на металл '!$T20*2+6)/1000*7.85*'Цены на металл '!I$3*('Цены на металл '!I$4*1.35)+('Цены на металл '!I$5*('Цены на металл '!$S20+'Цены на металл '!$T20*2+6)/1000*7.85*'Цены на металл '!I$3)</f>
        <v>407.75647499999991</v>
      </c>
      <c r="K19" s="124">
        <f>('Цены на металл '!$S20+'Цены на металл '!$T20*2+6)/1000*7.85*'Цены на металл '!J$3*('Цены на металл '!J$4*1.3)+('Цены на металл '!J$5*('Цены на металл '!$S20+'Цены на металл '!$T20*2+6)/1000*7.85*'Цены на металл '!J$3)</f>
        <v>581.78862000000004</v>
      </c>
      <c r="L19" s="140">
        <f>('Цены на металл '!$S20+'Цены на металл '!$T20*2+6)/1000*7.85*'Цены на металл '!K$3*1.8*'Цены на металл '!K$4</f>
        <v>570.73896000000002</v>
      </c>
      <c r="M19" s="140">
        <f>('Цены на металл '!$S20+'Цены на металл '!$T20*2+6)/1000*7.85*'Цены на металл '!L$3*1.8*'Цены на металл '!L$4</f>
        <v>830.16576000000009</v>
      </c>
      <c r="N19" s="140">
        <f>('Цены на металл '!$S20+'Цены на металл '!$T20*2+6)/1000*7.85*'Цены на металл '!M$3*1.8*'Цены на металл '!M$4</f>
        <v>1037.7072000000001</v>
      </c>
      <c r="O19" s="140">
        <f>('Цены на металл '!$S20+'Цены на металл '!$T20*2+6)/1000*7.85*'Цены на металл '!N$3*1.8*'Цены на металл '!N$4</f>
        <v>1245.24864</v>
      </c>
      <c r="P19" s="140">
        <f>('Цены на металл '!$S20+'Цены на металл '!$T20*2+6)/1000*7.85*'Цены на металл '!O$3*1.8*'Цены на металл '!O$4</f>
        <v>1556.5608</v>
      </c>
    </row>
    <row r="20" spans="1:16">
      <c r="A20" s="10" t="s">
        <v>1123</v>
      </c>
      <c r="B20" s="93">
        <f>('Цены на металл '!$S21+'Цены на металл '!$T21*2+6)/1000*7.85*'Цены на металл '!A$3*1.36*'Цены на металл '!A$4</f>
        <v>113.11222000000001</v>
      </c>
      <c r="C20" s="93">
        <f>('Цены на металл '!$S21+'Цены на металл '!$T21*2+6)/1000*7.85*'Цены на металл '!B$3*1.25*'Цены на металл '!B$4</f>
        <v>135.15246875000003</v>
      </c>
      <c r="D20" s="93">
        <f>('Цены на металл '!$S21+'Цены на металл '!$T21*2+6)/1000*7.85*'Цены на металл '!C$3*1.25*'Цены на металл '!C$4</f>
        <v>155.94515625</v>
      </c>
      <c r="E20" s="93">
        <f>('Цены на металл '!$S21+'Цены на металл '!$T21*2+6)/1000*7.85*'Цены на металл '!D$3*1.25*'Цены на металл '!D$4</f>
        <v>187.1341875</v>
      </c>
      <c r="F20" s="93">
        <f>('Цены на металл '!$S21+'Цены на металл '!$T21*2+6)/1000*7.85*'Цены на металл '!E$3*1.25*'Цены на металл '!E$4</f>
        <v>228.71956250000002</v>
      </c>
      <c r="G20" s="93">
        <f>('Цены на металл '!$S21+'Цены на металл '!$T21*2+6)/1000*7.85*'Цены на металл '!F$3*1.25*'Цены на металл '!F$4</f>
        <v>291.09762499999999</v>
      </c>
      <c r="H20" s="93">
        <f>('Цены на металл '!$S21+'Цены на металл '!$T21*2+6)/1000*7.85*'Цены на металл '!G$3*1.25*'Цены на металл '!G$4</f>
        <v>407.21678750000001</v>
      </c>
      <c r="I20" s="124">
        <f>('Цены на металл '!$S21+'Цены на металл '!$T21*2+6)/1000*7.85*'Цены на металл '!H$3*('Цены на металл '!H$4*1.3)+('Цены на металл '!H$5*('Цены на металл '!$S21+'Цены на металл '!$T21*2+6)/1000*7.85*'Цены на металл '!H$3)</f>
        <v>333.57868499999995</v>
      </c>
      <c r="J20" s="124">
        <f>('Цены на металл '!$S21+'Цены на металл '!$T21*2+6)/1000*7.85*'Цены на металл '!I$3*('Цены на металл '!I$4*1.35)+('Цены на металл '!I$5*('Цены на металл '!$S21+'Цены на металл '!$T21*2+6)/1000*7.85*'Цены на металл '!I$3)</f>
        <v>434.40722499999993</v>
      </c>
      <c r="K20" s="124">
        <f>('Цены на металл '!$S21+'Цены на металл '!$T21*2+6)/1000*7.85*'Цены на металл '!J$3*('Цены на металл '!J$4*1.3)+('Цены на металл '!J$5*('Цены на металл '!$S21+'Цены на металл '!$T21*2+6)/1000*7.85*'Цены на металл '!J$3)</f>
        <v>619.81402000000003</v>
      </c>
      <c r="L20" s="140">
        <f>('Цены на металл '!$S21+'Цены на металл '!$T21*2+6)/1000*7.85*'Цены на металл '!K$3*1.8*'Цены на металл '!K$4</f>
        <v>608.04215999999997</v>
      </c>
      <c r="M20" s="140">
        <f>('Цены на металл '!$S21+'Цены на металл '!$T21*2+6)/1000*7.85*'Цены на металл '!L$3*1.8*'Цены на металл '!L$4</f>
        <v>884.42496000000006</v>
      </c>
      <c r="N20" s="140">
        <f>('Цены на металл '!$S21+'Цены на металл '!$T21*2+6)/1000*7.85*'Цены на металл '!M$3*1.8*'Цены на металл '!M$4</f>
        <v>1105.5311999999999</v>
      </c>
      <c r="O20" s="140">
        <f>('Цены на металл '!$S21+'Цены на металл '!$T21*2+6)/1000*7.85*'Цены на металл '!N$3*1.8*'Цены на металл '!N$4</f>
        <v>1326.63744</v>
      </c>
      <c r="P20" s="140">
        <f>('Цены на металл '!$S21+'Цены на металл '!$T21*2+6)/1000*7.85*'Цены на металл '!O$3*1.8*'Цены на металл '!O$4</f>
        <v>1658.2967999999998</v>
      </c>
    </row>
    <row r="21" spans="1:16">
      <c r="A21" s="10" t="s">
        <v>1124</v>
      </c>
      <c r="B21" s="93">
        <f>('Цены на металл '!$S22+'Цены на металл '!$T22*2+6)/1000*7.85*'Цены на металл '!A$3*1.36*'Цены на металл '!A$4</f>
        <v>116.58192</v>
      </c>
      <c r="C21" s="93">
        <f>('Цены на металл '!$S22+'Цены на металл '!$T22*2+6)/1000*7.85*'Цены на металл '!B$3*1.25*'Цены на металл '!B$4</f>
        <v>139.29825</v>
      </c>
      <c r="D21" s="93">
        <f>('Цены на металл '!$S22+'Цены на металл '!$T22*2+6)/1000*7.85*'Цены на металл '!C$3*1.25*'Цены на металл '!C$4</f>
        <v>160.72874999999999</v>
      </c>
      <c r="E21" s="93">
        <f>('Цены на металл '!$S22+'Цены на металл '!$T22*2+6)/1000*7.85*'Цены на металл '!D$3*1.25*'Цены на металл '!D$4</f>
        <v>192.87449999999998</v>
      </c>
      <c r="F21" s="93">
        <f>('Цены на металл '!$S22+'Цены на металл '!$T22*2+6)/1000*7.85*'Цены на металл '!E$3*1.25*'Цены на металл '!E$4</f>
        <v>235.73550000000003</v>
      </c>
      <c r="G21" s="93">
        <f>('Цены на металл '!$S22+'Цены на металл '!$T22*2+6)/1000*7.85*'Цены на металл '!F$3*1.25*'Цены на металл '!F$4</f>
        <v>300.02699999999993</v>
      </c>
      <c r="H21" s="93">
        <f>('Цены на металл '!$S22+'Цены на металл '!$T22*2+6)/1000*7.85*'Цены на металл '!G$3*1.25*'Цены на металл '!G$4</f>
        <v>419.70809999999994</v>
      </c>
      <c r="I21" s="124">
        <f>('Цены на металл '!$S22+'Цены на металл '!$T22*2+6)/1000*7.85*'Цены на металл '!H$3*('Цены на металл '!H$4*1.3)+('Цены на металл '!H$5*('Цены на металл '!$S22+'Цены на металл '!$T22*2+6)/1000*7.85*'Цены на металл '!H$3)</f>
        <v>343.81116000000003</v>
      </c>
      <c r="J21" s="124">
        <f>('Цены на металл '!$S22+'Цены на металл '!$T22*2+6)/1000*7.85*'Цены на металл '!I$3*('Цены на металл '!I$4*1.35)+('Цены на металл '!I$5*('Цены на металл '!$S22+'Цены на металл '!$T22*2+6)/1000*7.85*'Цены на металл '!I$3)</f>
        <v>447.73259999999993</v>
      </c>
      <c r="K21" s="124">
        <f>('Цены на металл '!$S22+'Цены на металл '!$T22*2+6)/1000*7.85*'Цены на металл '!J$3*('Цены на металл '!J$4*1.3)+('Цены на металл '!J$5*('Цены на металл '!$S22+'Цены на металл '!$T22*2+6)/1000*7.85*'Цены на металл '!J$3)</f>
        <v>638.82672000000002</v>
      </c>
      <c r="L21" s="140">
        <f>('Цены на металл '!$S22+'Цены на металл '!$T22*2+6)/1000*7.85*'Цены на металл '!K$3*1.8*'Цены на металл '!K$4</f>
        <v>626.69376000000011</v>
      </c>
      <c r="M21" s="140">
        <f>('Цены на металл '!$S22+'Цены на металл '!$T22*2+6)/1000*7.85*'Цены на металл '!L$3*1.8*'Цены на металл '!L$4</f>
        <v>911.55456000000004</v>
      </c>
      <c r="N21" s="140">
        <f>('Цены на металл '!$S22+'Цены на металл '!$T22*2+6)/1000*7.85*'Цены на металл '!M$3*1.8*'Цены на металл '!M$4</f>
        <v>1139.4431999999999</v>
      </c>
      <c r="O21" s="140">
        <f>('Цены на металл '!$S22+'Цены на металл '!$T22*2+6)/1000*7.85*'Цены на металл '!N$3*1.8*'Цены на металл '!N$4</f>
        <v>1367.3318400000001</v>
      </c>
      <c r="P21" s="140">
        <f>('Цены на металл '!$S22+'Цены на металл '!$T22*2+6)/1000*7.85*'Цены на металл '!O$3*1.8*'Цены на металл '!O$4</f>
        <v>1709.1648</v>
      </c>
    </row>
    <row r="22" spans="1:16">
      <c r="A22" s="10" t="s">
        <v>1125</v>
      </c>
      <c r="B22" s="93">
        <f>('Цены на металл '!$S23+'Цены на металл '!$T23*2+6)/1000*7.85*'Цены на металл '!A$3*1.36*'Цены на металл '!A$4</f>
        <v>126.99102000000002</v>
      </c>
      <c r="C22" s="93">
        <f>('Цены на металл '!$S23+'Цены на металл '!$T23*2+6)/1000*7.85*'Цены на металл '!B$3*1.25*'Цены на металл '!B$4</f>
        <v>151.73559375000002</v>
      </c>
      <c r="D22" s="93">
        <f>('Цены на металл '!$S23+'Цены на металл '!$T23*2+6)/1000*7.85*'Цены на металл '!C$3*1.25*'Цены на металл '!C$4</f>
        <v>175.07953124999997</v>
      </c>
      <c r="E22" s="93">
        <f>('Цены на металл '!$S23+'Цены на металл '!$T23*2+6)/1000*7.85*'Цены на металл '!D$3*1.25*'Цены на металл '!D$4</f>
        <v>210.0954375</v>
      </c>
      <c r="F22" s="93">
        <f>('Цены на металл '!$S23+'Цены на металл '!$T23*2+6)/1000*7.85*'Цены на металл '!E$3*1.25*'Цены на металл '!E$4</f>
        <v>256.78331250000002</v>
      </c>
      <c r="G22" s="93">
        <f>('Цены на металл '!$S23+'Цены на металл '!$T23*2+6)/1000*7.85*'Цены на металл '!F$3*1.25*'Цены на металл '!F$4</f>
        <v>326.81512499999997</v>
      </c>
      <c r="H22" s="93">
        <f>('Цены на металл '!$S23+'Цены на металл '!$T23*2+6)/1000*7.85*'Цены на металл '!G$3*1.25*'Цены на металл '!G$4</f>
        <v>457.18203749999998</v>
      </c>
      <c r="I22" s="124">
        <f>('Цены на металл '!$S23+'Цены на металл '!$T23*2+6)/1000*7.85*'Цены на металл '!H$3*('Цены на металл '!H$4*1.3)+('Цены на металл '!H$5*('Цены на металл '!$S23+'Цены на металл '!$T23*2+6)/1000*7.85*'Цены на металл '!H$3)</f>
        <v>374.50858500000004</v>
      </c>
      <c r="J22" s="124">
        <f>('Цены на металл '!$S23+'Цены на металл '!$T23*2+6)/1000*7.85*'Цены на металл '!I$3*('Цены на металл '!I$4*1.35)+('Цены на металл '!I$5*('Цены на металл '!$S23+'Цены на металл '!$T23*2+6)/1000*7.85*'Цены на металл '!I$3)</f>
        <v>487.70872500000002</v>
      </c>
      <c r="K22" s="124">
        <f>('Цены на металл '!$S23+'Цены на металл '!$T23*2+6)/1000*7.85*'Цены на металл '!J$3*('Цены на металл '!J$4*1.3)+('Цены на металл '!J$5*('Цены на металл '!$S23+'Цены на металл '!$T23*2+6)/1000*7.85*'Цены на металл '!J$3)</f>
        <v>695.86482000000001</v>
      </c>
      <c r="L22" s="140">
        <f>('Цены на металл '!$S23+'Цены на металл '!$T23*2+6)/1000*7.85*'Цены на металл '!K$3*1.8*'Цены на металл '!K$4</f>
        <v>682.64856000000009</v>
      </c>
      <c r="M22" s="140">
        <f>('Цены на металл '!$S23+'Цены на металл '!$T23*2+6)/1000*7.85*'Цены на металл '!L$3*1.8*'Цены на металл '!L$4</f>
        <v>992.94335999999998</v>
      </c>
      <c r="N22" s="140">
        <f>('Цены на металл '!$S23+'Цены на металл '!$T23*2+6)/1000*7.85*'Цены на металл '!M$3*1.8*'Цены на металл '!M$4</f>
        <v>1241.1792</v>
      </c>
      <c r="O22" s="140">
        <f>('Цены на металл '!$S23+'Цены на металл '!$T23*2+6)/1000*7.85*'Цены на металл '!N$3*1.8*'Цены на металл '!N$4</f>
        <v>1489.4150400000001</v>
      </c>
      <c r="P22" s="140">
        <f>('Цены на металл '!$S23+'Цены на металл '!$T23*2+6)/1000*7.85*'Цены на металл '!O$3*1.8*'Цены на металл '!O$4</f>
        <v>1861.7687999999998</v>
      </c>
    </row>
    <row r="23" spans="1:16">
      <c r="A23" s="10" t="s">
        <v>1126</v>
      </c>
      <c r="B23" s="93">
        <f>('Цены на металл '!$S24+'Цены на металл '!$T24*2+6)/1000*7.85*'Цены на металл '!A$3*1.36*'Цены на металл '!A$4</f>
        <v>140.86982</v>
      </c>
      <c r="C23" s="93">
        <f>('Цены на металл '!$S24+'Цены на металл '!$T24*2+6)/1000*7.85*'Цены на металл '!B$3*1.25*'Цены на металл '!B$4</f>
        <v>168.31871874999999</v>
      </c>
      <c r="D23" s="93">
        <f>('Цены на металл '!$S24+'Цены на металл '!$T24*2+6)/1000*7.85*'Цены на металл '!C$3*1.25*'Цены на металл '!C$4</f>
        <v>194.21390625000001</v>
      </c>
      <c r="E23" s="93">
        <f>('Цены на металл '!$S24+'Цены на металл '!$T24*2+6)/1000*7.85*'Цены на металл '!D$3*1.25*'Цены на металл '!D$4</f>
        <v>233.05668750000001</v>
      </c>
      <c r="F23" s="93">
        <f>('Цены на металл '!$S24+'Цены на металл '!$T24*2+6)/1000*7.85*'Цены на металл '!E$3*1.25*'Цены на металл '!E$4</f>
        <v>284.84706250000005</v>
      </c>
      <c r="G23" s="93">
        <f>('Цены на металл '!$S24+'Цены на металл '!$T24*2+6)/1000*7.85*'Цены на металл '!F$3*1.25*'Цены на металл '!F$4</f>
        <v>362.53262499999994</v>
      </c>
      <c r="H23" s="93">
        <f>('Цены на металл '!$S24+'Цены на металл '!$T24*2+6)/1000*7.85*'Цены на металл '!G$3*1.25*'Цены на металл '!G$4</f>
        <v>507.14728749999995</v>
      </c>
      <c r="I23" s="124">
        <f>('Цены на металл '!$S24+'Цены на металл '!$T24*2+6)/1000*7.85*'Цены на металл '!H$3*('Цены на металл '!H$4*1.3)+('Цены на металл '!H$5*('Цены на металл '!$S24+'Цены на металл '!$T24*2+6)/1000*7.85*'Цены на металл '!H$3)</f>
        <v>415.43848500000001</v>
      </c>
      <c r="J23" s="124">
        <f>('Цены на металл '!$S24+'Цены на металл '!$T24*2+6)/1000*7.85*'Цены на металл '!I$3*('Цены на металл '!I$4*1.35)+('Цены на металл '!I$5*('Цены на металл '!$S24+'Цены на металл '!$T24*2+6)/1000*7.85*'Цены на металл '!I$3)</f>
        <v>541.01022499999999</v>
      </c>
      <c r="K23" s="124">
        <f>('Цены на металл '!$S24+'Цены на металл '!$T24*2+6)/1000*7.85*'Цены на металл '!J$3*('Цены на металл '!J$4*1.3)+('Цены на металл '!J$5*('Цены на металл '!$S24+'Цены на металл '!$T24*2+6)/1000*7.85*'Цены на металл '!J$3)</f>
        <v>771.91561999999999</v>
      </c>
      <c r="L23" s="140">
        <f>('Цены на металл '!$S24+'Цены на металл '!$T24*2+6)/1000*7.85*'Цены на металл '!K$3*1.8*'Цены на металл '!K$4</f>
        <v>757.2549600000001</v>
      </c>
      <c r="M23" s="140">
        <f>('Цены на металл '!$S24+'Цены на металл '!$T24*2+6)/1000*7.85*'Цены на металл '!L$3*1.8*'Цены на металл '!L$4</f>
        <v>1101.4617600000001</v>
      </c>
      <c r="N23" s="140">
        <f>('Цены на металл '!$S24+'Цены на металл '!$T24*2+6)/1000*7.85*'Цены на металл '!M$3*1.8*'Цены на металл '!M$4</f>
        <v>1376.8272000000002</v>
      </c>
      <c r="O23" s="140">
        <f>('Цены на металл '!$S24+'Цены на металл '!$T24*2+6)/1000*7.85*'Цены на металл '!N$3*1.8*'Цены на металл '!N$4</f>
        <v>1652.19264</v>
      </c>
      <c r="P23" s="140">
        <f>('Цены на металл '!$S24+'Цены на металл '!$T24*2+6)/1000*7.85*'Цены на металл '!O$3*1.8*'Цены на металл '!O$4</f>
        <v>2065.2408</v>
      </c>
    </row>
    <row r="24" spans="1:16">
      <c r="A24" s="10" t="s">
        <v>1127</v>
      </c>
      <c r="B24" s="816"/>
      <c r="C24" s="93">
        <f>('Цены на металл '!$S25+'Цены на металл '!$T25*2+6)/1000*7.85*'Цены на металл '!B$3*1.25*'Цены на металл '!B$4</f>
        <v>209.77653125000001</v>
      </c>
      <c r="D24" s="93">
        <f>('Цены на металл '!$S25+'Цены на металл '!$T25*2+6)/1000*7.85*'Цены на металл '!C$3*1.25*'Цены на металл '!C$4</f>
        <v>242.04984374999998</v>
      </c>
      <c r="E24" s="93">
        <f>('Цены на металл '!$S25+'Цены на металл '!$T25*2+6)/1000*7.85*'Цены на металл '!D$3*1.25*'Цены на металл '!D$4</f>
        <v>290.4598125</v>
      </c>
      <c r="F24" s="93">
        <f>('Цены на металл '!$S25+'Цены на металл '!$T25*2+6)/1000*7.85*'Цены на металл '!E$3*1.25*'Цены на металл '!E$4</f>
        <v>355.0064375</v>
      </c>
      <c r="G24" s="93">
        <f>('Цены на металл '!$S25+'Цены на металл '!$T25*2+6)/1000*7.85*'Цены на металл '!F$3*1.25*'Цены на металл '!F$4</f>
        <v>451.82637499999993</v>
      </c>
      <c r="H24" s="93">
        <f>('Цены на металл '!$S25+'Цены на металл '!$T25*2+6)/1000*7.85*'Цены на металл '!G$3*1.25*'Цены на металл '!G$4</f>
        <v>632.06041249999998</v>
      </c>
      <c r="I24" s="124">
        <f>('Цены на металл '!$S25+'Цены на металл '!$T25*2+6)/1000*7.85*'Цены на металл '!H$3*('Цены на металл '!H$4*1.3)+('Цены на металл '!H$5*('Цены на металл '!$S25+'Цены на металл '!$T25*2+6)/1000*7.85*'Цены на металл '!H$3)</f>
        <v>517.76323500000012</v>
      </c>
      <c r="J24" s="124">
        <f>('Цены на металл '!$S25+'Цены на металл '!$T25*2+6)/1000*7.85*'Цены на металл '!I$3*('Цены на металл '!I$4*1.35)+('Цены на металл '!I$5*('Цены на металл '!$S25+'Цены на металл '!$T25*2+6)/1000*7.85*'Цены на металл '!I$3)</f>
        <v>674.26397499999996</v>
      </c>
      <c r="K24" s="124">
        <f>('Цены на металл '!$S25+'Цены на металл '!$T25*2+6)/1000*7.85*'Цены на металл '!J$3*('Цены на металл '!J$4*1.3)+('Цены на металл '!J$5*('Цены на металл '!$S25+'Цены на металл '!$T25*2+6)/1000*7.85*'Цены на металл '!J$3)</f>
        <v>962.04261999999994</v>
      </c>
      <c r="L24" s="140">
        <f>('Цены на металл '!$S25+'Цены на металл '!$T25*2+6)/1000*7.85*'Цены на металл '!K$3*1.8*'Цены на металл '!K$4</f>
        <v>943.77096000000017</v>
      </c>
      <c r="M24" s="140">
        <f>('Цены на металл '!$S25+'Цены на металл '!$T25*2+6)/1000*7.85*'Цены на металл '!L$3*1.8*'Цены на металл '!L$4</f>
        <v>1372.75776</v>
      </c>
      <c r="N24" s="140">
        <f>('Цены на металл '!$S25+'Цены на металл '!$T25*2+6)/1000*7.85*'Цены на металл '!M$3*1.8*'Цены на металл '!M$4</f>
        <v>1715.9472000000001</v>
      </c>
      <c r="O24" s="140">
        <f>('Цены на металл '!$S25+'Цены на металл '!$T25*2+6)/1000*7.85*'Цены на металл '!N$3*1.8*'Цены на металл '!N$4</f>
        <v>2059.1366400000002</v>
      </c>
      <c r="P24" s="140">
        <f>('Цены на металл '!$S25+'Цены на металл '!$T25*2+6)/1000*7.85*'Цены на металл '!O$3*1.8*'Цены на металл '!O$4</f>
        <v>2573.9207999999999</v>
      </c>
    </row>
    <row r="25" spans="1:16">
      <c r="A25" s="10" t="s">
        <v>1128</v>
      </c>
      <c r="B25" s="817"/>
      <c r="C25" s="93">
        <f>('Цены на металл '!$S26+'Цены на металл '!$T26*2+6)/1000*7.85*'Цены на металл '!B$3*1.25*'Цены на металл '!B$4</f>
        <v>251.23434374999997</v>
      </c>
      <c r="D25" s="93">
        <f>('Цены на металл '!$S26+'Цены на металл '!$T26*2+6)/1000*7.85*'Цены на металл '!C$3*1.25*'Цены на металл '!C$4</f>
        <v>289.88578124999998</v>
      </c>
      <c r="E25" s="93">
        <f>('Цены на металл '!$S26+'Цены на металл '!$T26*2+6)/1000*7.85*'Цены на металл '!D$3*1.25*'Цены на металл '!D$4</f>
        <v>347.86293750000004</v>
      </c>
      <c r="F25" s="93">
        <f>('Цены на металл '!$S26+'Цены на металл '!$T26*2+6)/1000*7.85*'Цены на металл '!E$3*1.25*'Цены на металл '!E$4</f>
        <v>425.16581250000002</v>
      </c>
      <c r="G25" s="93">
        <f>('Цены на металл '!$S26+'Цены на металл '!$T26*2+6)/1000*7.85*'Цены на металл '!F$3*1.25*'Цены на металл '!F$4</f>
        <v>541.12012499999992</v>
      </c>
      <c r="H25" s="93">
        <f>('Цены на металл '!$S26+'Цены на металл '!$T26*2+6)/1000*7.85*'Цены на металл '!G$3*1.25*'Цены на металл '!G$4</f>
        <v>756.97353749999979</v>
      </c>
      <c r="I25" s="124">
        <f>('Цены на металл '!$S26+'Цены на металл '!$T26*2+6)/1000*7.85*'Цены на металл '!H$3*('Цены на металл '!H$4*1.3)+('Цены на металл '!H$5*('Цены на металл '!$S26+'Цены на металл '!$T26*2+6)/1000*7.85*'Цены на металл '!H$3)</f>
        <v>620.087985</v>
      </c>
      <c r="J25" s="124">
        <f>('Цены на металл '!$S26+'Цены на металл '!$T26*2+6)/1000*7.85*'Цены на металл '!I$3*('Цены на металл '!I$4*1.35)+('Цены на металл '!I$5*('Цены на металл '!$S26+'Цены на металл '!$T26*2+6)/1000*7.85*'Цены на металл '!I$3)</f>
        <v>807.51772499999993</v>
      </c>
      <c r="K25" s="124">
        <f>('Цены на металл '!$S26+'Цены на металл '!$T26*2+6)/1000*7.85*'Цены на металл '!J$3*('Цены на металл '!J$4*1.3)+('Цены на металл '!J$5*('Цены на металл '!$S26+'Цены на металл '!$T26*2+6)/1000*7.85*'Цены на металл '!J$3)</f>
        <v>1152.1696199999999</v>
      </c>
      <c r="L25" s="140">
        <f>('Цены на металл '!$S26+'Цены на металл '!$T26*2+6)/1000*7.85*'Цены на металл '!K$3*1.8*'Цены на металл '!K$4</f>
        <v>1130.2869599999999</v>
      </c>
      <c r="M25" s="140">
        <f>('Цены на металл '!$S26+'Цены на металл '!$T26*2+6)/1000*7.85*'Цены на металл '!L$3*1.8*'Цены на металл '!L$4</f>
        <v>1644.05376</v>
      </c>
      <c r="N25" s="140">
        <f>('Цены на металл '!$S26+'Цены на металл '!$T26*2+6)/1000*7.85*'Цены на металл '!M$3*1.8*'Цены на металл '!M$4</f>
        <v>2055.0672</v>
      </c>
      <c r="O25" s="140">
        <f>('Цены на металл '!$S26+'Цены на металл '!$T26*2+6)/1000*7.85*'Цены на металл '!N$3*1.8*'Цены на металл '!N$4</f>
        <v>2466.0806399999997</v>
      </c>
      <c r="P25" s="140">
        <f>('Цены на металл '!$S26+'Цены на металл '!$T26*2+6)/1000*7.85*'Цены на металл '!O$3*1.8*'Цены на металл '!O$4</f>
        <v>3082.6007999999997</v>
      </c>
    </row>
    <row r="26" spans="1:16">
      <c r="A26" s="10" t="s">
        <v>1129</v>
      </c>
      <c r="B26" s="817"/>
      <c r="C26" s="93">
        <f>('Цены на металл '!$S27+'Цены на металл '!$T27*2+6)/1000*7.85*'Цены на металл '!B$3*1.25*'Цены на металл '!B$4</f>
        <v>147.58981249999997</v>
      </c>
      <c r="D26" s="93">
        <f>('Цены на металл '!$S27+'Цены на металл '!$T27*2+6)/1000*7.85*'Цены на металл '!C$3*1.25*'Цены на металл '!C$4</f>
        <v>170.29593749999998</v>
      </c>
      <c r="E26" s="93">
        <f>('Цены на металл '!$S27+'Цены на металл '!$T27*2+6)/1000*7.85*'Цены на металл '!D$3*1.25*'Цены на металл '!D$4</f>
        <v>204.35512499999996</v>
      </c>
      <c r="F26" s="93">
        <f>('Цены на металл '!$S27+'Цены на металл '!$T27*2+6)/1000*7.85*'Цены на металл '!E$3*1.25*'Цены на металл '!E$4</f>
        <v>249.76737499999999</v>
      </c>
      <c r="G26" s="93">
        <f>('Цены на металл '!$S27+'Цены на металл '!$T27*2+6)/1000*7.85*'Цены на металл '!F$3*1.25*'Цены на металл '!F$4</f>
        <v>317.88574999999997</v>
      </c>
      <c r="H26" s="93">
        <f>('Цены на металл '!$S27+'Цены на металл '!$T27*2+6)/1000*7.85*'Цены на металл '!G$3*1.25*'Цены на металл '!G$4</f>
        <v>444.69072499999987</v>
      </c>
      <c r="I26" s="124">
        <f>('Цены на металл '!$S27+'Цены на металл '!$T27*2+6)/1000*7.85*'Цены на металл '!H$3*('Цены на металл '!H$4*1.3)+('Цены на металл '!H$5*('Цены на металл '!$S27+'Цены на металл '!$T27*2+6)/1000*7.85*'Цены на металл '!H$3)</f>
        <v>364.27611000000002</v>
      </c>
      <c r="J26" s="124">
        <f>('Цены на металл '!$S27+'Цены на металл '!$T27*2+6)/1000*7.85*'Цены на металл '!I$3*('Цены на металл '!I$4*1.35)+('Цены на металл '!I$5*('Цены на металл '!$S27+'Цены на металл '!$T27*2+6)/1000*7.85*'Цены на металл '!I$3)</f>
        <v>474.38334999999995</v>
      </c>
      <c r="K26" s="124">
        <f>('Цены на металл '!$S27+'Цены на металл '!$T27*2+6)/1000*7.85*'Цены на металл '!J$3*('Цены на металл '!J$4*1.3)+('Цены на металл '!J$5*('Цены на металл '!$S27+'Цены на металл '!$T27*2+6)/1000*7.85*'Цены на металл '!J$3)</f>
        <v>676.85212000000001</v>
      </c>
      <c r="L26" s="140">
        <f>('Цены на металл '!$S27+'Цены на металл '!$T27*2+6)/1000*7.85*'Цены на металл '!K$3*1.8*'Цены на металл '!K$4</f>
        <v>663.99695999999994</v>
      </c>
      <c r="M26" s="140">
        <f>('Цены на металл '!$S27+'Цены на металл '!$T27*2+6)/1000*7.85*'Цены на металл '!L$3*1.8*'Цены на металл '!L$4</f>
        <v>965.81376</v>
      </c>
      <c r="N26" s="140">
        <f>('Цены на металл '!$S27+'Цены на металл '!$T27*2+6)/1000*7.85*'Цены на металл '!M$3*1.8*'Цены на металл '!M$4</f>
        <v>1207.2671999999998</v>
      </c>
      <c r="O26" s="140">
        <f>('Цены на металл '!$S27+'Цены на металл '!$T27*2+6)/1000*7.85*'Цены на металл '!N$3*1.8*'Цены на металл '!N$4</f>
        <v>1448.7206399999995</v>
      </c>
      <c r="P26" s="140">
        <f>('Цены на металл '!$S27+'Цены на металл '!$T27*2+6)/1000*7.85*'Цены на металл '!O$3*1.8*'Цены на металл '!O$4</f>
        <v>1810.9007999999999</v>
      </c>
    </row>
    <row r="27" spans="1:16">
      <c r="A27" s="10" t="s">
        <v>1130</v>
      </c>
      <c r="B27" s="817"/>
      <c r="C27" s="93">
        <f>('Цены на металл '!$S28+'Цены на металл '!$T28*2+6)/1000*7.85*'Цены на металл '!B$3*1.25*'Цены на металл '!B$4</f>
        <v>172.46449999999999</v>
      </c>
      <c r="D27" s="93">
        <f>('Цены на металл '!$S28+'Цены на металл '!$T28*2+6)/1000*7.85*'Цены на металл '!C$3*1.25*'Цены на металл '!C$4</f>
        <v>198.99749999999997</v>
      </c>
      <c r="E27" s="93">
        <f>('Цены на металл '!$S28+'Цены на металл '!$T28*2+6)/1000*7.85*'Цены на металл '!D$3*1.25*'Цены на металл '!D$4</f>
        <v>238.797</v>
      </c>
      <c r="F27" s="93">
        <f>('Цены на металл '!$S28+'Цены на металл '!$T28*2+6)/1000*7.85*'Цены на металл '!E$3*1.25*'Цены на металл '!E$4</f>
        <v>291.863</v>
      </c>
      <c r="G27" s="93">
        <f>('Цены на металл '!$S28+'Цены на металл '!$T28*2+6)/1000*7.85*'Цены на металл '!F$3*1.25*'Цены на металл '!F$4</f>
        <v>371.46199999999993</v>
      </c>
      <c r="H27" s="93">
        <f>('Цены на металл '!$S28+'Цены на металл '!$T28*2+6)/1000*7.85*'Цены на металл '!G$3*1.25*'Цены на металл '!G$4</f>
        <v>519.63859999999988</v>
      </c>
      <c r="I27" s="124">
        <f>('Цены на металл '!$S28+'Цены на металл '!$T28*2+6)/1000*7.85*'Цены на металл '!H$3*('Цены на металл '!H$4*1.3)+('Цены на металл '!H$5*('Цены на металл '!$S28+'Цены на металл '!$T28*2+6)/1000*7.85*'Цены на металл '!H$3)</f>
        <v>425.67095999999992</v>
      </c>
      <c r="J27" s="124">
        <f>('Цены на металл '!$S28+'Цены на металл '!$T28*2+6)/1000*7.85*'Цены на металл '!I$3*('Цены на металл '!I$4*1.35)+('Цены на металл '!I$5*('Цены на металл '!$S28+'Цены на металл '!$T28*2+6)/1000*7.85*'Цены на металл '!I$3)</f>
        <v>554.33559999999989</v>
      </c>
      <c r="K27" s="124">
        <f>('Цены на металл '!$S28+'Цены на металл '!$T28*2+6)/1000*7.85*'Цены на металл '!J$3*('Цены на металл '!J$4*1.3)+('Цены на металл '!J$5*('Цены на металл '!$S28+'Цены на металл '!$T28*2+6)/1000*7.85*'Цены на металл '!J$3)</f>
        <v>790.92831999999999</v>
      </c>
      <c r="L27" s="140">
        <f>('Цены на металл '!$S28+'Цены на металл '!$T28*2+6)/1000*7.85*'Цены на металл '!K$3*1.8*'Цены на металл '!K$4</f>
        <v>775.9065599999999</v>
      </c>
      <c r="M27" s="140">
        <f>('Цены на металл '!$S28+'Цены на металл '!$T28*2+6)/1000*7.85*'Цены на металл '!L$3*1.8*'Цены на металл '!L$4</f>
        <v>1128.5913599999999</v>
      </c>
      <c r="N27" s="140">
        <f>('Цены на металл '!$S28+'Цены на металл '!$T28*2+6)/1000*7.85*'Цены на металл '!M$3*1.8*'Цены на металл '!M$4</f>
        <v>1410.7392</v>
      </c>
      <c r="O27" s="140">
        <f>('Цены на металл '!$S28+'Цены на металл '!$T28*2+6)/1000*7.85*'Цены на металл '!N$3*1.8*'Цены на металл '!N$4</f>
        <v>1692.8870399999998</v>
      </c>
      <c r="P27" s="140">
        <f>('Цены на металл '!$S28+'Цены на металл '!$T28*2+6)/1000*7.85*'Цены на металл '!O$3*1.8*'Цены на металл '!O$4</f>
        <v>2116.1088</v>
      </c>
    </row>
    <row r="28" spans="1:16">
      <c r="A28" s="10" t="s">
        <v>1131</v>
      </c>
      <c r="B28" s="817"/>
      <c r="C28" s="93">
        <f>('Цены на металл '!$S29+'Цены на металл '!$T29*2+6)/1000*7.85*'Цены на металл '!B$3*1.25*'Цены на металл '!B$4</f>
        <v>189.04762500000001</v>
      </c>
      <c r="D28" s="93">
        <f>('Цены на металл '!$S29+'Цены на металл '!$T29*2+6)/1000*7.85*'Цены на металл '!C$3*1.25*'Цены на металл '!C$4</f>
        <v>218.13187500000001</v>
      </c>
      <c r="E28" s="93">
        <f>('Цены на металл '!$S29+'Цены на металл '!$T29*2+6)/1000*7.85*'Цены на металл '!D$3*1.25*'Цены на металл '!D$4</f>
        <v>261.75824999999998</v>
      </c>
      <c r="F28" s="93">
        <f>('Цены на металл '!$S29+'Цены на металл '!$T29*2+6)/1000*7.85*'Цены на металл '!E$3*1.25*'Цены на металл '!E$4</f>
        <v>319.92675000000003</v>
      </c>
      <c r="G28" s="93">
        <f>('Цены на металл '!$S29+'Цены на металл '!$T29*2+6)/1000*7.85*'Цены на металл '!F$3*1.25*'Цены на металл '!F$4</f>
        <v>407.17949999999996</v>
      </c>
      <c r="H28" s="93">
        <f>('Цены на металл '!$S29+'Цены на металл '!$T29*2+6)/1000*7.85*'Цены на металл '!G$3*1.25*'Цены на металл '!G$4</f>
        <v>569.60384999999997</v>
      </c>
      <c r="I28" s="124">
        <f>('Цены на металл '!$S29+'Цены на металл '!$T29*2+6)/1000*7.85*'Цены на металл '!H$3*('Цены на металл '!H$4*1.3)+('Цены на металл '!H$5*('Цены на металл '!$S29+'Цены на металл '!$T29*2+6)/1000*7.85*'Цены на металл '!H$3)</f>
        <v>466.60086000000001</v>
      </c>
      <c r="J28" s="124">
        <f>('Цены на металл '!$S29+'Цены на металл '!$T29*2+6)/1000*7.85*'Цены на металл '!I$3*('Цены на металл '!I$4*1.35)+('Цены на металл '!I$5*('Цены на металл '!$S29+'Цены на металл '!$T29*2+6)/1000*7.85*'Цены на металл '!I$3)</f>
        <v>607.63709999999992</v>
      </c>
      <c r="K28" s="124">
        <f>('Цены на металл '!$S29+'Цены на металл '!$T29*2+6)/1000*7.85*'Цены на металл '!J$3*('Цены на металл '!J$4*1.3)+('Цены на металл '!J$5*('Цены на металл '!$S29+'Цены на металл '!$T29*2+6)/1000*7.85*'Цены на металл '!J$3)</f>
        <v>866.97912000000008</v>
      </c>
      <c r="L28" s="140">
        <f>('Цены на металл '!$S29+'Цены на металл '!$T29*2+6)/1000*7.85*'Цены на металл '!K$3*1.8*'Цены на металл '!K$4</f>
        <v>850.51296000000013</v>
      </c>
      <c r="M28" s="140">
        <f>('Цены на металл '!$S29+'Цены на металл '!$T29*2+6)/1000*7.85*'Цены на металл '!L$3*1.8*'Цены на металл '!L$4</f>
        <v>1237.1097600000003</v>
      </c>
      <c r="N28" s="140">
        <f>('Цены на металл '!$S29+'Цены на металл '!$T29*2+6)/1000*7.85*'Цены на металл '!M$3*1.8*'Цены на металл '!M$4</f>
        <v>1546.3872000000001</v>
      </c>
      <c r="O28" s="140">
        <f>('Цены на металл '!$S29+'Цены на металл '!$T29*2+6)/1000*7.85*'Цены на металл '!N$3*1.8*'Цены на металл '!N$4</f>
        <v>1855.66464</v>
      </c>
      <c r="P28" s="140">
        <f>('Цены на металл '!$S29+'Цены на металл '!$T29*2+6)/1000*7.85*'Цены на металл '!O$3*1.8*'Цены на металл '!O$4</f>
        <v>2319.5808000000006</v>
      </c>
    </row>
    <row r="29" spans="1:16">
      <c r="A29" s="10" t="s">
        <v>1132</v>
      </c>
      <c r="B29" s="817"/>
      <c r="C29" s="93">
        <f>('Цены на металл '!$S30+'Цены на металл '!$T30*2+6)/1000*7.85*'Цены на металл '!B$3*1.25*'Цены на металл '!B$4</f>
        <v>168.31871874999999</v>
      </c>
      <c r="D29" s="93">
        <f>('Цены на металл '!$S30+'Цены на металл '!$T30*2+6)/1000*7.85*'Цены на металл '!C$3*1.25*'Цены на металл '!C$4</f>
        <v>194.21390625000001</v>
      </c>
      <c r="E29" s="93">
        <f>('Цены на металл '!$S30+'Цены на металл '!$T30*2+6)/1000*7.85*'Цены на металл '!D$3*1.25*'Цены на металл '!D$4</f>
        <v>233.05668750000001</v>
      </c>
      <c r="F29" s="93">
        <f>('Цены на металл '!$S30+'Цены на металл '!$T30*2+6)/1000*7.85*'Цены на металл '!E$3*1.25*'Цены на металл '!E$4</f>
        <v>284.84706250000005</v>
      </c>
      <c r="G29" s="93">
        <f>('Цены на металл '!$S30+'Цены на металл '!$T30*2+6)/1000*7.85*'Цены на металл '!F$3*1.25*'Цены на металл '!F$4</f>
        <v>362.53262499999994</v>
      </c>
      <c r="H29" s="93">
        <f>('Цены на металл '!$S30+'Цены на металл '!$T30*2+6)/1000*7.85*'Цены на металл '!G$3*1.25*'Цены на металл '!G$4</f>
        <v>507.14728749999995</v>
      </c>
      <c r="I29" s="124">
        <f>('Цены на металл '!$S30+'Цены на металл '!$T30*2+6)/1000*7.85*'Цены на металл '!H$3*('Цены на металл '!H$4*1.3)+('Цены на металл '!H$5*('Цены на металл '!$S30+'Цены на металл '!$T30*2+6)/1000*7.85*'Цены на металл '!H$3)</f>
        <v>415.43848500000001</v>
      </c>
      <c r="J29" s="124">
        <f>('Цены на металл '!$S30+'Цены на металл '!$T30*2+6)/1000*7.85*'Цены на металл '!I$3*('Цены на металл '!I$4*1.35)+('Цены на металл '!I$5*('Цены на металл '!$S30+'Цены на металл '!$T30*2+6)/1000*7.85*'Цены на металл '!I$3)</f>
        <v>541.01022499999999</v>
      </c>
      <c r="K29" s="124">
        <f>('Цены на металл '!$S30+'Цены на металл '!$T30*2+6)/1000*7.85*'Цены на металл '!J$3*('Цены на металл '!J$4*1.3)+('Цены на металл '!J$5*('Цены на металл '!$S30+'Цены на металл '!$T30*2+6)/1000*7.85*'Цены на металл '!J$3)</f>
        <v>771.91561999999999</v>
      </c>
      <c r="L29" s="140">
        <f>('Цены на металл '!$S30+'Цены на металл '!$T30*2+6)/1000*7.85*'Цены на металл '!K$3*1.8*'Цены на металл '!K$4</f>
        <v>757.2549600000001</v>
      </c>
      <c r="M29" s="140">
        <f>('Цены на металл '!$S30+'Цены на металл '!$T30*2+6)/1000*7.85*'Цены на металл '!L$3*1.8*'Цены на металл '!L$4</f>
        <v>1101.4617600000001</v>
      </c>
      <c r="N29" s="140">
        <f>('Цены на металл '!$S30+'Цены на металл '!$T30*2+6)/1000*7.85*'Цены на металл '!M$3*1.8*'Цены на металл '!M$4</f>
        <v>1376.8272000000002</v>
      </c>
      <c r="O29" s="140">
        <f>('Цены на металл '!$S30+'Цены на металл '!$T30*2+6)/1000*7.85*'Цены на металл '!N$3*1.8*'Цены на металл '!N$4</f>
        <v>1652.19264</v>
      </c>
      <c r="P29" s="140">
        <f>('Цены на металл '!$S30+'Цены на металл '!$T30*2+6)/1000*7.85*'Цены на металл '!O$3*1.8*'Цены на металл '!O$4</f>
        <v>2065.2408</v>
      </c>
    </row>
    <row r="30" spans="1:16">
      <c r="A30" s="10" t="s">
        <v>1133</v>
      </c>
      <c r="B30" s="817"/>
      <c r="C30" s="93">
        <f>('Цены на металл '!$S31+'Цены на металл '!$T31*2+6)/1000*7.85*'Цены на металл '!B$3*1.25*'Цены на металл '!B$4</f>
        <v>176.61028124999999</v>
      </c>
      <c r="D30" s="93">
        <f>('Цены на металл '!$S31+'Цены на металл '!$T31*2+6)/1000*7.85*'Цены на металл '!C$3*1.25*'Цены на металл '!C$4</f>
        <v>203.78109375</v>
      </c>
      <c r="E30" s="93">
        <f>('Цены на металл '!$S31+'Цены на металл '!$T31*2+6)/1000*7.85*'Цены на металл '!D$3*1.25*'Цены на металл '!D$4</f>
        <v>244.53731249999996</v>
      </c>
      <c r="F30" s="93">
        <f>('Цены на металл '!$S31+'Цены на металл '!$T31*2+6)/1000*7.85*'Цены на металл '!E$3*1.25*'Цены на металл '!E$4</f>
        <v>298.87893750000001</v>
      </c>
      <c r="G30" s="93">
        <f>('Цены на металл '!$S31+'Цены на металл '!$T31*2+6)/1000*7.85*'Цены на металл '!F$3*1.25*'Цены на металл '!F$4</f>
        <v>380.39137499999993</v>
      </c>
      <c r="H30" s="93">
        <f>('Цены на металл '!$S31+'Цены на металл '!$T31*2+6)/1000*7.85*'Цены на металл '!G$3*1.25*'Цены на металл '!G$4</f>
        <v>532.12991249999993</v>
      </c>
      <c r="I30" s="124">
        <f>('Цены на металл '!$S31+'Цены на металл '!$T31*2+6)/1000*7.85*'Цены на металл '!H$3*('Цены на металл '!H$4*1.3)+('Цены на металл '!H$5*('Цены на металл '!$S31+'Цены на металл '!$T31*2+6)/1000*7.85*'Цены на металл '!H$3)</f>
        <v>435.903435</v>
      </c>
      <c r="J30" s="124">
        <f>('Цены на металл '!$S31+'Цены на металл '!$T31*2+6)/1000*7.85*'Цены на металл '!I$3*('Цены на металл '!I$4*1.35)+('Цены на металл '!I$5*('Цены на металл '!$S31+'Цены на металл '!$T31*2+6)/1000*7.85*'Цены на металл '!I$3)</f>
        <v>567.66097500000001</v>
      </c>
      <c r="K30" s="124">
        <f>('Цены на металл '!$S31+'Цены на металл '!$T31*2+6)/1000*7.85*'Цены на металл '!J$3*('Цены на металл '!J$4*1.3)+('Цены на металл '!J$5*('Цены на металл '!$S31+'Цены на металл '!$T31*2+6)/1000*7.85*'Цены на металл '!J$3)</f>
        <v>809.94101999999998</v>
      </c>
      <c r="L30" s="140">
        <f>('Цены на металл '!$S31+'Цены на металл '!$T31*2+6)/1000*7.85*'Цены на металл '!K$3*1.8*'Цены на металл '!K$4</f>
        <v>794.55815999999993</v>
      </c>
      <c r="M30" s="140">
        <f>('Цены на металл '!$S31+'Цены на металл '!$T31*2+6)/1000*7.85*'Цены на металл '!L$3*1.8*'Цены на металл '!L$4</f>
        <v>1155.7209599999999</v>
      </c>
      <c r="N30" s="140">
        <f>('Цены на металл '!$S31+'Цены на металл '!$T31*2+6)/1000*7.85*'Цены на металл '!M$3*1.8*'Цены на металл '!M$4</f>
        <v>1444.6511999999998</v>
      </c>
      <c r="O30" s="140">
        <f>('Цены на металл '!$S31+'Цены на металл '!$T31*2+6)/1000*7.85*'Цены на металл '!N$3*1.8*'Цены на металл '!N$4</f>
        <v>1733.5814399999999</v>
      </c>
      <c r="P30" s="140">
        <f>('Цены на металл '!$S31+'Цены на металл '!$T31*2+6)/1000*7.85*'Цены на металл '!O$3*1.8*'Цены на металл '!O$4</f>
        <v>2166.9767999999999</v>
      </c>
    </row>
    <row r="31" spans="1:16">
      <c r="A31" s="10" t="s">
        <v>1134</v>
      </c>
      <c r="B31" s="817"/>
      <c r="C31" s="93">
        <f>('Цены на металл '!$S32+'Цены на металл '!$T32*2+6)/1000*7.85*'Цены на металл '!B$3*1.25*'Цены на металл '!B$4</f>
        <v>180.75606249999998</v>
      </c>
      <c r="D31" s="93">
        <f>('Цены на металл '!$S32+'Цены на металл '!$T32*2+6)/1000*7.85*'Цены на металл '!C$3*1.25*'Цены на металл '!C$4</f>
        <v>208.56468749999999</v>
      </c>
      <c r="E31" s="93">
        <f>('Цены на металл '!$S32+'Цены на металл '!$T32*2+6)/1000*7.85*'Цены на металл '!D$3*1.25*'Цены на металл '!D$4</f>
        <v>250.27762499999997</v>
      </c>
      <c r="F31" s="93">
        <f>('Цены на металл '!$S32+'Цены на металл '!$T32*2+6)/1000*7.85*'Цены на металл '!E$3*1.25*'Цены на металл '!E$4</f>
        <v>305.89487500000001</v>
      </c>
      <c r="G31" s="93">
        <f>('Цены на металл '!$S32+'Цены на металл '!$T32*2+6)/1000*7.85*'Цены на металл '!F$3*1.25*'Цены на металл '!F$4</f>
        <v>389.32074999999998</v>
      </c>
      <c r="H31" s="93">
        <f>('Цены на металл '!$S32+'Цены на металл '!$T32*2+6)/1000*7.85*'Цены на металл '!G$3*1.25*'Цены на металл '!G$4</f>
        <v>544.62122499999987</v>
      </c>
      <c r="I31" s="124">
        <f>('Цены на металл '!$S32+'Цены на металл '!$T32*2+6)/1000*7.85*'Цены на металл '!H$3*('Цены на металл '!H$4*1.3)+('Цены на металл '!H$5*('Цены на металл '!$S32+'Цены на металл '!$T32*2+6)/1000*7.85*'Цены на металл '!H$3)</f>
        <v>446.13591000000008</v>
      </c>
      <c r="J31" s="124">
        <f>('Цены на металл '!$S32+'Цены на металл '!$T32*2+6)/1000*7.85*'Цены на металл '!I$3*('Цены на металл '!I$4*1.35)+('Цены на металл '!I$5*('Цены на металл '!$S32+'Цены на металл '!$T32*2+6)/1000*7.85*'Цены на металл '!I$3)</f>
        <v>580.9863499999999</v>
      </c>
      <c r="K31" s="124">
        <f>('Цены на металл '!$S32+'Цены на металл '!$T32*2+6)/1000*7.85*'Цены на металл '!J$3*('Цены на металл '!J$4*1.3)+('Цены на металл '!J$5*('Цены на металл '!$S32+'Цены на металл '!$T32*2+6)/1000*7.85*'Цены на металл '!J$3)</f>
        <v>828.95371999999998</v>
      </c>
      <c r="L31" s="140">
        <f>('Цены на металл '!$S32+'Цены на металл '!$T32*2+6)/1000*7.85*'Цены на металл '!K$3*1.8*'Цены на металл '!K$4</f>
        <v>813.20976000000007</v>
      </c>
      <c r="M31" s="140">
        <f>('Цены на металл '!$S32+'Цены на металл '!$T32*2+6)/1000*7.85*'Цены на металл '!L$3*1.8*'Цены на металл '!L$4</f>
        <v>1182.8505600000001</v>
      </c>
      <c r="N31" s="140">
        <f>('Цены на металл '!$S32+'Цены на металл '!$T32*2+6)/1000*7.85*'Цены на металл '!M$3*1.8*'Цены на металл '!M$4</f>
        <v>1478.5631999999998</v>
      </c>
      <c r="O31" s="140">
        <f>('Цены на металл '!$S32+'Цены на металл '!$T32*2+6)/1000*7.85*'Цены на металл '!N$3*1.8*'Цены на металл '!N$4</f>
        <v>1774.2758399999998</v>
      </c>
      <c r="P31" s="140">
        <f>('Цены на металл '!$S32+'Цены на металл '!$T32*2+6)/1000*7.85*'Цены на металл '!O$3*1.8*'Цены на металл '!O$4</f>
        <v>2217.8447999999999</v>
      </c>
    </row>
    <row r="32" spans="1:16">
      <c r="A32" s="10" t="s">
        <v>1135</v>
      </c>
      <c r="B32" s="817"/>
      <c r="C32" s="93">
        <f>('Цены на металл '!$S33+'Цены на металл '!$T33*2+6)/1000*7.85*'Цены на металл '!B$3*1.25*'Цены на металл '!B$4</f>
        <v>193.19340625000001</v>
      </c>
      <c r="D32" s="93">
        <f>('Цены на металл '!$S33+'Цены на металл '!$T33*2+6)/1000*7.85*'Цены на металл '!C$3*1.25*'Цены на металл '!C$4</f>
        <v>222.91546875</v>
      </c>
      <c r="E32" s="93">
        <f>('Цены на металл '!$S33+'Цены на металл '!$T33*2+6)/1000*7.85*'Цены на металл '!D$3*1.25*'Цены на металл '!D$4</f>
        <v>267.49856250000005</v>
      </c>
      <c r="F32" s="93">
        <f>('Цены на металл '!$S33+'Цены на металл '!$T33*2+6)/1000*7.85*'Цены на металл '!E$3*1.25*'Цены на металл '!E$4</f>
        <v>326.94268750000003</v>
      </c>
      <c r="G32" s="93">
        <f>('Цены на металл '!$S33+'Цены на металл '!$T33*2+6)/1000*7.85*'Цены на металл '!F$3*1.25*'Цены на металл '!F$4</f>
        <v>416.10887500000001</v>
      </c>
      <c r="H32" s="93">
        <f>('Цены на металл '!$S33+'Цены на металл '!$T33*2+6)/1000*7.85*'Цены на металл '!G$3*1.25*'Цены на металл '!G$4</f>
        <v>582.09516250000001</v>
      </c>
      <c r="I32" s="124">
        <f>('Цены на металл '!$S33+'Цены на металл '!$T33*2+6)/1000*7.85*'Цены на металл '!H$3*('Цены на металл '!H$4*1.3)+('Цены на металл '!H$5*('Цены на металл '!$S33+'Цены на металл '!$T33*2+6)/1000*7.85*'Цены на металл '!H$3)</f>
        <v>476.83333500000003</v>
      </c>
      <c r="J32" s="124">
        <f>('Цены на металл '!$S33+'Цены на металл '!$T33*2+6)/1000*7.85*'Цены на металл '!I$3*('Цены на металл '!I$4*1.35)+('Цены на металл '!I$5*('Цены на металл '!$S33+'Цены на металл '!$T33*2+6)/1000*7.85*'Цены на металл '!I$3)</f>
        <v>620.96247500000004</v>
      </c>
      <c r="K32" s="124">
        <f>('Цены на металл '!$S33+'Цены на металл '!$T33*2+6)/1000*7.85*'Цены на металл '!J$3*('Цены на металл '!J$4*1.3)+('Цены на металл '!J$5*('Цены на металл '!$S33+'Цены на металл '!$T33*2+6)/1000*7.85*'Цены на металл '!J$3)</f>
        <v>885.99182000000008</v>
      </c>
      <c r="L32" s="140">
        <f>('Цены на металл '!$S33+'Цены на металл '!$T33*2+6)/1000*7.85*'Цены на металл '!K$3*1.8*'Цены на металл '!K$4</f>
        <v>869.16456000000017</v>
      </c>
      <c r="M32" s="140">
        <f>('Цены на металл '!$S33+'Цены на металл '!$T33*2+6)/1000*7.85*'Цены на металл '!L$3*1.8*'Цены на металл '!L$4</f>
        <v>1264.2393600000003</v>
      </c>
      <c r="N32" s="140">
        <f>('Цены на металл '!$S33+'Цены на металл '!$T33*2+6)/1000*7.85*'Цены на металл '!M$3*1.8*'Цены на металл '!M$4</f>
        <v>1580.2992000000002</v>
      </c>
      <c r="O32" s="140">
        <f>('Цены на металл '!$S33+'Цены на металл '!$T33*2+6)/1000*7.85*'Цены на металл '!N$3*1.8*'Цены на металл '!N$4</f>
        <v>1896.35904</v>
      </c>
      <c r="P32" s="140">
        <f>('Цены на металл '!$S33+'Цены на металл '!$T33*2+6)/1000*7.85*'Цены на металл '!O$3*1.8*'Цены на металл '!O$4</f>
        <v>2370.4488000000001</v>
      </c>
    </row>
    <row r="33" spans="1:16">
      <c r="A33" s="10" t="s">
        <v>1136</v>
      </c>
      <c r="B33" s="817"/>
      <c r="C33" s="93">
        <f>('Цены на металл '!$S34+'Цены на металл '!$T34*2+6)/1000*7.85*'Цены на металл '!B$3*1.25*'Цены на металл '!B$4</f>
        <v>209.77653125000001</v>
      </c>
      <c r="D33" s="93">
        <f>('Цены на металл '!$S34+'Цены на металл '!$T34*2+6)/1000*7.85*'Цены на металл '!C$3*1.25*'Цены на металл '!C$4</f>
        <v>242.04984374999998</v>
      </c>
      <c r="E33" s="93">
        <f>('Цены на металл '!$S34+'Цены на металл '!$T34*2+6)/1000*7.85*'Цены на металл '!D$3*1.25*'Цены на металл '!D$4</f>
        <v>290.4598125</v>
      </c>
      <c r="F33" s="93">
        <f>('Цены на металл '!$S34+'Цены на металл '!$T34*2+6)/1000*7.85*'Цены на металл '!E$3*1.25*'Цены на металл '!E$4</f>
        <v>355.0064375</v>
      </c>
      <c r="G33" s="93">
        <f>('Цены на металл '!$S34+'Цены на металл '!$T34*2+6)/1000*7.85*'Цены на металл '!F$3*1.25*'Цены на металл '!F$4</f>
        <v>451.82637499999993</v>
      </c>
      <c r="H33" s="93">
        <f>('Цены на металл '!$S34+'Цены на металл '!$T34*2+6)/1000*7.85*'Цены на металл '!G$3*1.25*'Цены на металл '!G$4</f>
        <v>632.06041249999998</v>
      </c>
      <c r="I33" s="124">
        <f>('Цены на металл '!$S34+'Цены на металл '!$T34*2+6)/1000*7.85*'Цены на металл '!H$3*('Цены на металл '!H$4*1.3)+('Цены на металл '!H$5*('Цены на металл '!$S34+'Цены на металл '!$T34*2+6)/1000*7.85*'Цены на металл '!H$3)</f>
        <v>517.76323500000012</v>
      </c>
      <c r="J33" s="124">
        <f>('Цены на металл '!$S34+'Цены на металл '!$T34*2+6)/1000*7.85*'Цены на металл '!I$3*('Цены на металл '!I$4*1.35)+('Цены на металл '!I$5*('Цены на металл '!$S34+'Цены на металл '!$T34*2+6)/1000*7.85*'Цены на металл '!I$3)</f>
        <v>674.26397499999996</v>
      </c>
      <c r="K33" s="124">
        <f>('Цены на металл '!$S34+'Цены на металл '!$T34*2+6)/1000*7.85*'Цены на металл '!J$3*('Цены на металл '!J$4*1.3)+('Цены на металл '!J$5*('Цены на металл '!$S34+'Цены на металл '!$T34*2+6)/1000*7.85*'Цены на металл '!J$3)</f>
        <v>962.04261999999994</v>
      </c>
      <c r="L33" s="140">
        <f>('Цены на металл '!$S34+'Цены на металл '!$T34*2+6)/1000*7.85*'Цены на металл '!K$3*1.8*'Цены на металл '!K$4</f>
        <v>943.77096000000017</v>
      </c>
      <c r="M33" s="140">
        <f>('Цены на металл '!$S34+'Цены на металл '!$T34*2+6)/1000*7.85*'Цены на металл '!L$3*1.8*'Цены на металл '!L$4</f>
        <v>1372.75776</v>
      </c>
      <c r="N33" s="140">
        <f>('Цены на металл '!$S34+'Цены на металл '!$T34*2+6)/1000*7.85*'Цены на металл '!M$3*1.8*'Цены на металл '!M$4</f>
        <v>1715.9472000000001</v>
      </c>
      <c r="O33" s="140">
        <f>('Цены на металл '!$S34+'Цены на металл '!$T34*2+6)/1000*7.85*'Цены на металл '!N$3*1.8*'Цены на металл '!N$4</f>
        <v>2059.1366400000002</v>
      </c>
      <c r="P33" s="140">
        <f>('Цены на металл '!$S34+'Цены на металл '!$T34*2+6)/1000*7.85*'Цены на металл '!O$3*1.8*'Цены на металл '!O$4</f>
        <v>2573.9207999999999</v>
      </c>
    </row>
    <row r="34" spans="1:16">
      <c r="A34" s="10" t="s">
        <v>1137</v>
      </c>
      <c r="B34" s="817"/>
      <c r="C34" s="93">
        <f>('Цены на металл '!$S35+'Цены на металл '!$T35*2+6)/1000*7.85*'Цены на металл '!B$3*1.25*'Цены на металл '!B$4</f>
        <v>251.23434374999997</v>
      </c>
      <c r="D34" s="93">
        <f>('Цены на металл '!$S35+'Цены на металл '!$T35*2+6)/1000*7.85*'Цены на металл '!C$3*1.25*'Цены на металл '!C$4</f>
        <v>289.88578124999998</v>
      </c>
      <c r="E34" s="93">
        <f>('Цены на металл '!$S35+'Цены на металл '!$T35*2+6)/1000*7.85*'Цены на металл '!D$3*1.25*'Цены на металл '!D$4</f>
        <v>347.86293750000004</v>
      </c>
      <c r="F34" s="93">
        <f>('Цены на металл '!$S35+'Цены на металл '!$T35*2+6)/1000*7.85*'Цены на металл '!E$3*1.25*'Цены на металл '!E$4</f>
        <v>425.16581250000002</v>
      </c>
      <c r="G34" s="93">
        <f>('Цены на металл '!$S35+'Цены на металл '!$T35*2+6)/1000*7.85*'Цены на металл '!F$3*1.25*'Цены на металл '!F$4</f>
        <v>541.12012499999992</v>
      </c>
      <c r="H34" s="93">
        <f>('Цены на металл '!$S35+'Цены на металл '!$T35*2+6)/1000*7.85*'Цены на металл '!G$3*1.25*'Цены на металл '!G$4</f>
        <v>756.97353749999979</v>
      </c>
      <c r="I34" s="124">
        <f>('Цены на металл '!$S35+'Цены на металл '!$T35*2+6)/1000*7.85*'Цены на металл '!H$3*('Цены на металл '!H$4*1.3)+('Цены на металл '!H$5*('Цены на металл '!$S35+'Цены на металл '!$T35*2+6)/1000*7.85*'Цены на металл '!H$3)</f>
        <v>620.087985</v>
      </c>
      <c r="J34" s="124">
        <f>('Цены на металл '!$S35+'Цены на металл '!$T35*2+6)/1000*7.85*'Цены на металл '!I$3*('Цены на металл '!I$4*1.35)+('Цены на металл '!I$5*('Цены на металл '!$S35+'Цены на металл '!$T35*2+6)/1000*7.85*'Цены на металл '!I$3)</f>
        <v>807.51772499999993</v>
      </c>
      <c r="K34" s="124">
        <f>('Цены на металл '!$S35+'Цены на металл '!$T35*2+6)/1000*7.85*'Цены на металл '!J$3*('Цены на металл '!J$4*1.3)+('Цены на металл '!J$5*('Цены на металл '!$S35+'Цены на металл '!$T35*2+6)/1000*7.85*'Цены на металл '!J$3)</f>
        <v>1152.1696199999999</v>
      </c>
      <c r="L34" s="140">
        <f>('Цены на металл '!$S35+'Цены на металл '!$T35*2+6)/1000*7.85*'Цены на металл '!K$3*1.8*'Цены на металл '!K$4</f>
        <v>1130.2869599999999</v>
      </c>
      <c r="M34" s="140">
        <f>('Цены на металл '!$S35+'Цены на металл '!$T35*2+6)/1000*7.85*'Цены на металл '!L$3*1.8*'Цены на металл '!L$4</f>
        <v>1644.05376</v>
      </c>
      <c r="N34" s="140">
        <f>('Цены на металл '!$S35+'Цены на металл '!$T35*2+6)/1000*7.85*'Цены на металл '!M$3*1.8*'Цены на металл '!M$4</f>
        <v>2055.0672</v>
      </c>
      <c r="O34" s="140">
        <f>('Цены на металл '!$S35+'Цены на металл '!$T35*2+6)/1000*7.85*'Цены на металл '!N$3*1.8*'Цены на металл '!N$4</f>
        <v>2466.0806399999997</v>
      </c>
      <c r="P34" s="140">
        <f>('Цены на металл '!$S35+'Цены на металл '!$T35*2+6)/1000*7.85*'Цены на металл '!O$3*1.8*'Цены на металл '!O$4</f>
        <v>3082.6007999999997</v>
      </c>
    </row>
    <row r="35" spans="1:16">
      <c r="A35" s="10" t="s">
        <v>1138</v>
      </c>
      <c r="B35" s="817"/>
      <c r="C35" s="93">
        <f>('Цены на металл '!$S36+'Цены на металл '!$T36*2+6)/1000*7.85*'Цены на металл '!B$3*1.25*'Цены на металл '!B$4</f>
        <v>292.69215624999998</v>
      </c>
      <c r="D35" s="93">
        <f>('Цены на металл '!$S36+'Цены на металл '!$T36*2+6)/1000*7.85*'Цены на металл '!C$3*1.25*'Цены на металл '!C$4</f>
        <v>337.72171875000004</v>
      </c>
      <c r="E35" s="93">
        <f>('Цены на металл '!$S36+'Цены на металл '!$T36*2+6)/1000*7.85*'Цены на металл '!D$3*1.25*'Цены на металл '!D$4</f>
        <v>405.26606250000003</v>
      </c>
      <c r="F35" s="93">
        <f>('Цены на металл '!$S36+'Цены на металл '!$T36*2+6)/1000*7.85*'Цены на металл '!E$3*1.25*'Цены на металл '!E$4</f>
        <v>495.32518749999997</v>
      </c>
      <c r="G35" s="93">
        <f>('Цены на металл '!$S36+'Цены на металл '!$T36*2+6)/1000*7.85*'Цены на металл '!F$3*1.25*'Цены на металл '!F$4</f>
        <v>630.41387499999985</v>
      </c>
      <c r="H35" s="93">
        <f>('Цены на металл '!$S36+'Цены на металл '!$T36*2+6)/1000*7.85*'Цены на металл '!G$3*1.25*'Цены на металл '!G$4</f>
        <v>881.88666249999983</v>
      </c>
      <c r="I35" s="124">
        <f>('Цены на металл '!$S36+'Цены на металл '!$T36*2+6)/1000*7.85*'Цены на металл '!H$3*('Цены на металл '!H$4*1.3)+('Цены на металл '!H$5*('Цены на металл '!$S36+'Цены на металл '!$T36*2+6)/1000*7.85*'Цены на металл '!H$3)</f>
        <v>722.41273500000011</v>
      </c>
      <c r="J35" s="124">
        <f>('Цены на металл '!$S36+'Цены на металл '!$T36*2+6)/1000*7.85*'Цены на металл '!I$3*('Цены на металл '!I$4*1.35)+('Цены на металл '!I$5*('Цены на металл '!$S36+'Цены на металл '!$T36*2+6)/1000*7.85*'Цены на металл '!I$3)</f>
        <v>940.7714749999999</v>
      </c>
      <c r="K35" s="124">
        <f>('Цены на металл '!$S36+'Цены на металл '!$T36*2+6)/1000*7.85*'Цены на металл '!J$3*('Цены на металл '!J$4*1.3)+('Цены на металл '!J$5*('Цены на металл '!$S36+'Цены на металл '!$T36*2+6)/1000*7.85*'Цены на металл '!J$3)</f>
        <v>1342.2966200000001</v>
      </c>
      <c r="L35" s="140">
        <f>('Цены на металл '!$S36+'Цены на металл '!$T36*2+6)/1000*7.85*'Цены на металл '!K$3*1.8*'Цены на металл '!K$4</f>
        <v>1316.80296</v>
      </c>
      <c r="M35" s="140">
        <f>('Цены на металл '!$S36+'Цены на металл '!$T36*2+6)/1000*7.85*'Цены на металл '!L$3*1.8*'Цены на металл '!L$4</f>
        <v>1915.3497599999998</v>
      </c>
      <c r="N35" s="140">
        <f>('Цены на металл '!$S36+'Цены на металл '!$T36*2+6)/1000*7.85*'Цены на металл '!M$3*1.8*'Цены на металл '!M$4</f>
        <v>2394.1872000000003</v>
      </c>
      <c r="O35" s="140">
        <f>('Цены на металл '!$S36+'Цены на металл '!$T36*2+6)/1000*7.85*'Цены на металл '!N$3*1.8*'Цены на металл '!N$4</f>
        <v>2873.0246399999996</v>
      </c>
      <c r="P35" s="140">
        <f>('Цены на металл '!$S36+'Цены на металл '!$T36*2+6)/1000*7.85*'Цены на металл '!O$3*1.8*'Цены на металл '!O$4</f>
        <v>3591.2808</v>
      </c>
    </row>
    <row r="36" spans="1:16">
      <c r="A36" s="10" t="s">
        <v>1139</v>
      </c>
      <c r="B36" s="817"/>
      <c r="C36" s="93">
        <f>('Цены на металл '!$S37+'Цены на металл '!$T37*2+6)/1000*7.85*'Цены на металл '!B$3*1.25*'Цены на металл '!B$4</f>
        <v>209.77653125000001</v>
      </c>
      <c r="D36" s="93">
        <f>('Цены на металл '!$S37+'Цены на металл '!$T37*2+6)/1000*7.85*'Цены на металл '!C$3*1.25*'Цены на металл '!C$4</f>
        <v>242.04984374999998</v>
      </c>
      <c r="E36" s="93">
        <f>('Цены на металл '!$S37+'Цены на металл '!$T37*2+6)/1000*7.85*'Цены на металл '!D$3*1.25*'Цены на металл '!D$4</f>
        <v>290.4598125</v>
      </c>
      <c r="F36" s="93">
        <f>('Цены на металл '!$S37+'Цены на металл '!$T37*2+6)/1000*7.85*'Цены на металл '!E$3*1.25*'Цены на металл '!E$4</f>
        <v>355.0064375</v>
      </c>
      <c r="G36" s="93">
        <f>('Цены на металл '!$S37+'Цены на металл '!$T37*2+6)/1000*7.85*'Цены на металл '!F$3*1.25*'Цены на металл '!F$4</f>
        <v>451.82637499999993</v>
      </c>
      <c r="H36" s="93">
        <f>('Цены на металл '!$S37+'Цены на металл '!$T37*2+6)/1000*7.85*'Цены на металл '!G$3*1.25*'Цены на металл '!G$4</f>
        <v>632.06041249999998</v>
      </c>
      <c r="I36" s="124">
        <f>('Цены на металл '!$S37+'Цены на металл '!$T37*2+6)/1000*7.85*'Цены на металл '!H$3*('Цены на металл '!H$4*1.3)+('Цены на металл '!H$5*('Цены на металл '!$S37+'Цены на металл '!$T37*2+6)/1000*7.85*'Цены на металл '!H$3)</f>
        <v>517.76323500000012</v>
      </c>
      <c r="J36" s="124">
        <f>('Цены на металл '!$S37+'Цены на металл '!$T37*2+6)/1000*7.85*'Цены на металл '!I$3*('Цены на металл '!I$4*1.35)+('Цены на металл '!I$5*('Цены на металл '!$S37+'Цены на металл '!$T37*2+6)/1000*7.85*'Цены на металл '!I$3)</f>
        <v>674.26397499999996</v>
      </c>
      <c r="K36" s="124">
        <f>('Цены на металл '!$S37+'Цены на металл '!$T37*2+6)/1000*7.85*'Цены на металл '!J$3*('Цены на металл '!J$4*1.3)+('Цены на металл '!J$5*('Цены на металл '!$S37+'Цены на металл '!$T37*2+6)/1000*7.85*'Цены на металл '!J$3)</f>
        <v>962.04261999999994</v>
      </c>
      <c r="L36" s="140">
        <f>('Цены на металл '!$S37+'Цены на металл '!$T37*2+6)/1000*7.85*'Цены на металл '!K$3*1.8*'Цены на металл '!K$4</f>
        <v>943.77096000000017</v>
      </c>
      <c r="M36" s="140">
        <f>('Цены на металл '!$S37+'Цены на металл '!$T37*2+6)/1000*7.85*'Цены на металл '!L$3*1.8*'Цены на металл '!L$4</f>
        <v>1372.75776</v>
      </c>
      <c r="N36" s="140">
        <f>('Цены на металл '!$S37+'Цены на металл '!$T37*2+6)/1000*7.85*'Цены на металл '!M$3*1.8*'Цены на металл '!M$4</f>
        <v>1715.9472000000001</v>
      </c>
      <c r="O36" s="140">
        <f>('Цены на металл '!$S37+'Цены на металл '!$T37*2+6)/1000*7.85*'Цены на металл '!N$3*1.8*'Цены на металл '!N$4</f>
        <v>2059.1366400000002</v>
      </c>
      <c r="P36" s="140">
        <f>('Цены на металл '!$S37+'Цены на металл '!$T37*2+6)/1000*7.85*'Цены на металл '!O$3*1.8*'Цены на металл '!O$4</f>
        <v>2573.9207999999999</v>
      </c>
    </row>
    <row r="37" spans="1:16">
      <c r="A37" s="10" t="s">
        <v>1140</v>
      </c>
      <c r="B37" s="817"/>
      <c r="C37" s="93">
        <f>('Цены на металл '!$S38+'Цены на металл '!$T38*2+6)/1000*7.85*'Цены на металл '!B$3*1.25*'Цены на металл '!B$4</f>
        <v>218.06809375000003</v>
      </c>
      <c r="D37" s="93">
        <f>('Цены на металл '!$S38+'Цены на металл '!$T38*2+6)/1000*7.85*'Цены на металл '!C$3*1.25*'Цены на металл '!C$4</f>
        <v>251.61703124999997</v>
      </c>
      <c r="E37" s="93">
        <f>('Цены на металл '!$S38+'Цены на металл '!$T38*2+6)/1000*7.85*'Цены на металл '!D$3*1.25*'Цены на металл '!D$4</f>
        <v>301.94043750000003</v>
      </c>
      <c r="F37" s="93">
        <f>('Цены на металл '!$S38+'Цены на металл '!$T38*2+6)/1000*7.85*'Цены на металл '!E$3*1.25*'Цены на металл '!E$4</f>
        <v>369.03831250000002</v>
      </c>
      <c r="G37" s="93">
        <f>('Цены на металл '!$S38+'Цены на металл '!$T38*2+6)/1000*7.85*'Цены на металл '!F$3*1.25*'Цены на металл '!F$4</f>
        <v>469.68512500000003</v>
      </c>
      <c r="H37" s="93">
        <f>('Цены на металл '!$S38+'Цены на металл '!$T38*2+6)/1000*7.85*'Цены на металл '!G$3*1.25*'Цены на металл '!G$4</f>
        <v>657.04303749999997</v>
      </c>
      <c r="I37" s="124">
        <f>('Цены на металл '!$S38+'Цены на металл '!$T38*2+6)/1000*7.85*'Цены на металл '!H$3*('Цены на металл '!H$4*1.3)+('Цены на металл '!H$5*('Цены на металл '!$S38+'Цены на металл '!$T38*2+6)/1000*7.85*'Цены на металл '!H$3)</f>
        <v>538.22818500000005</v>
      </c>
      <c r="J37" s="124">
        <f>('Цены на металл '!$S38+'Цены на металл '!$T38*2+6)/1000*7.85*'Цены на металл '!I$3*('Цены на металл '!I$4*1.35)+('Цены на металл '!I$5*('Цены на металл '!$S38+'Цены на металл '!$T38*2+6)/1000*7.85*'Цены на металл '!I$3)</f>
        <v>700.91472499999998</v>
      </c>
      <c r="K37" s="124">
        <f>('Цены на металл '!$S38+'Цены на металл '!$T38*2+6)/1000*7.85*'Цены на металл '!J$3*('Цены на металл '!J$4*1.3)+('Цены на металл '!J$5*('Цены на металл '!$S38+'Цены на металл '!$T38*2+6)/1000*7.85*'Цены на металл '!J$3)</f>
        <v>1000.0680200000002</v>
      </c>
      <c r="L37" s="140">
        <f>('Цены на металл '!$S38+'Цены на металл '!$T38*2+6)/1000*7.85*'Цены на металл '!K$3*1.8*'Цены на металл '!K$4</f>
        <v>981.07416000000001</v>
      </c>
      <c r="M37" s="140">
        <f>('Цены на металл '!$S38+'Цены на металл '!$T38*2+6)/1000*7.85*'Цены на металл '!L$3*1.8*'Цены на металл '!L$4</f>
        <v>1427.0169600000002</v>
      </c>
      <c r="N37" s="140">
        <f>('Цены на металл '!$S38+'Цены на металл '!$T38*2+6)/1000*7.85*'Цены на металл '!M$3*1.8*'Цены на металл '!M$4</f>
        <v>1783.7712000000001</v>
      </c>
      <c r="O37" s="140">
        <f>('Цены на металл '!$S38+'Цены на металл '!$T38*2+6)/1000*7.85*'Цены на металл '!N$3*1.8*'Цены на металл '!N$4</f>
        <v>2140.5254400000003</v>
      </c>
      <c r="P37" s="140">
        <f>('Цены на металл '!$S38+'Цены на металл '!$T38*2+6)/1000*7.85*'Цены на металл '!O$3*1.8*'Цены на металл '!O$4</f>
        <v>2675.6567999999997</v>
      </c>
    </row>
    <row r="38" spans="1:16">
      <c r="A38" s="10" t="s">
        <v>1141</v>
      </c>
      <c r="B38" s="817"/>
      <c r="C38" s="93">
        <f>('Цены на металл '!$S39+'Цены на металл '!$T39*2+6)/1000*7.85*'Цены на металл '!B$3*1.25*'Цены на металл '!B$4</f>
        <v>222.21387500000003</v>
      </c>
      <c r="D38" s="93">
        <f>('Цены на металл '!$S39+'Цены на металл '!$T39*2+6)/1000*7.85*'Цены на металл '!C$3*1.25*'Цены на металл '!C$4</f>
        <v>256.40062499999999</v>
      </c>
      <c r="E38" s="93">
        <f>('Цены на металл '!$S39+'Цены на металл '!$T39*2+6)/1000*7.85*'Цены на металл '!D$3*1.25*'Цены на металл '!D$4</f>
        <v>307.68074999999999</v>
      </c>
      <c r="F38" s="93">
        <f>('Цены на металл '!$S39+'Цены на металл '!$T39*2+6)/1000*7.85*'Цены на металл '!E$3*1.25*'Цены на металл '!E$4</f>
        <v>376.05425000000008</v>
      </c>
      <c r="G38" s="93">
        <f>('Цены на металл '!$S39+'Цены на металл '!$T39*2+6)/1000*7.85*'Цены на металл '!F$3*1.25*'Цены на металл '!F$4</f>
        <v>478.61450000000002</v>
      </c>
      <c r="H38" s="93">
        <f>('Цены на металл '!$S39+'Цены на металл '!$T39*2+6)/1000*7.85*'Цены на металл '!G$3*1.25*'Цены на металл '!G$4</f>
        <v>669.53435000000002</v>
      </c>
      <c r="I38" s="124">
        <f>('Цены на металл '!$S39+'Цены на металл '!$T39*2+6)/1000*7.85*'Цены на металл '!H$3*('Цены на металл '!H$4*1.3)+('Цены на металл '!H$5*('Цены на металл '!$S39+'Цены на металл '!$T39*2+6)/1000*7.85*'Цены на металл '!H$3)</f>
        <v>548.46065999999996</v>
      </c>
      <c r="J38" s="124">
        <f>('Цены на металл '!$S39+'Цены на металл '!$T39*2+6)/1000*7.85*'Цены на металл '!I$3*('Цены на металл '!I$4*1.35)+('Цены на металл '!I$5*('Цены на металл '!$S39+'Цены на металл '!$T39*2+6)/1000*7.85*'Цены на металл '!I$3)</f>
        <v>714.24009999999998</v>
      </c>
      <c r="K38" s="124">
        <f>('Цены на металл '!$S39+'Цены на металл '!$T39*2+6)/1000*7.85*'Цены на металл '!J$3*('Цены на металл '!J$4*1.3)+('Цены на металл '!J$5*('Цены на металл '!$S39+'Цены на металл '!$T39*2+6)/1000*7.85*'Цены на металл '!J$3)</f>
        <v>1019.0807200000002</v>
      </c>
      <c r="L38" s="140">
        <f>('Цены на металл '!$S39+'Цены на металл '!$T39*2+6)/1000*7.85*'Цены на металл '!K$3*1.8*'Цены на металл '!K$4</f>
        <v>999.72576000000015</v>
      </c>
      <c r="M38" s="140">
        <f>('Цены на металл '!$S39+'Цены на металл '!$T39*2+6)/1000*7.85*'Цены на металл '!L$3*1.8*'Цены на металл '!L$4</f>
        <v>1454.1465600000001</v>
      </c>
      <c r="N38" s="140">
        <f>('Цены на металл '!$S39+'Цены на металл '!$T39*2+6)/1000*7.85*'Цены на металл '!M$3*1.8*'Цены на металл '!M$4</f>
        <v>1817.6832000000002</v>
      </c>
      <c r="O38" s="140">
        <f>('Цены на металл '!$S39+'Цены на металл '!$T39*2+6)/1000*7.85*'Цены на металл '!N$3*1.8*'Цены на металл '!N$4</f>
        <v>2181.2198400000002</v>
      </c>
      <c r="P38" s="140">
        <f>('Цены на металл '!$S39+'Цены на металл '!$T39*2+6)/1000*7.85*'Цены на металл '!O$3*1.8*'Цены на металл '!O$4</f>
        <v>2726.5248000000001</v>
      </c>
    </row>
    <row r="39" spans="1:16">
      <c r="A39" s="10" t="s">
        <v>1142</v>
      </c>
      <c r="B39" s="817"/>
      <c r="C39" s="93">
        <f>('Цены на металл '!$S40+'Цены на металл '!$T40*2+6)/1000*7.85*'Цены на металл '!B$3*1.25*'Цены на металл '!B$4</f>
        <v>234.65121874999997</v>
      </c>
      <c r="D39" s="93">
        <f>('Цены на металл '!$S40+'Цены на металл '!$T40*2+6)/1000*7.85*'Цены на металл '!C$3*1.25*'Цены на металл '!C$4</f>
        <v>270.75140624999995</v>
      </c>
      <c r="E39" s="93">
        <f>('Цены на металл '!$S40+'Цены на металл '!$T40*2+6)/1000*7.85*'Цены на металл '!D$3*1.25*'Цены на металл '!D$4</f>
        <v>324.90168749999998</v>
      </c>
      <c r="F39" s="93">
        <f>('Цены на металл '!$S40+'Цены на металл '!$T40*2+6)/1000*7.85*'Цены на металл '!E$3*1.25*'Цены на металл '!E$4</f>
        <v>397.10206249999999</v>
      </c>
      <c r="G39" s="93">
        <f>('Цены на металл '!$S40+'Цены на металл '!$T40*2+6)/1000*7.85*'Цены на металл '!F$3*1.25*'Цены на металл '!F$4</f>
        <v>505.40262499999989</v>
      </c>
      <c r="H39" s="93">
        <f>('Цены на металл '!$S40+'Цены на металл '!$T40*2+6)/1000*7.85*'Цены на металл '!G$3*1.25*'Цены на металл '!G$4</f>
        <v>707.00828749999994</v>
      </c>
      <c r="I39" s="124">
        <f>('Цены на металл '!$S40+'Цены на металл '!$T40*2+6)/1000*7.85*'Цены на металл '!H$3*('Цены на металл '!H$4*1.3)+('Цены на металл '!H$5*('Цены на металл '!$S40+'Цены на металл '!$T40*2+6)/1000*7.85*'Цены на металл '!H$3)</f>
        <v>579.15808500000003</v>
      </c>
      <c r="J39" s="124">
        <f>('Цены на металл '!$S40+'Цены на металл '!$T40*2+6)/1000*7.85*'Цены на металл '!I$3*('Цены на металл '!I$4*1.35)+('Цены на металл '!I$5*('Цены на металл '!$S40+'Цены на металл '!$T40*2+6)/1000*7.85*'Цены на металл '!I$3)</f>
        <v>754.21622499999989</v>
      </c>
      <c r="K39" s="124">
        <f>('Цены на металл '!$S40+'Цены на металл '!$T40*2+6)/1000*7.85*'Цены на металл '!J$3*('Цены на металл '!J$4*1.3)+('Цены на металл '!J$5*('Цены на металл '!$S40+'Цены на металл '!$T40*2+6)/1000*7.85*'Цены на металл '!J$3)</f>
        <v>1076.1188199999999</v>
      </c>
      <c r="L39" s="140">
        <f>('Цены на металл '!$S40+'Цены на металл '!$T40*2+6)/1000*7.85*'Цены на металл '!K$3*1.8*'Цены на металл '!K$4</f>
        <v>1055.68056</v>
      </c>
      <c r="M39" s="140">
        <f>('Цены на металл '!$S40+'Цены на металл '!$T40*2+6)/1000*7.85*'Цены на металл '!L$3*1.8*'Цены на металл '!L$4</f>
        <v>1535.5353599999999</v>
      </c>
      <c r="N39" s="140">
        <f>('Цены на металл '!$S40+'Цены на металл '!$T40*2+6)/1000*7.85*'Цены на металл '!M$3*1.8*'Цены на металл '!M$4</f>
        <v>1919.4191999999998</v>
      </c>
      <c r="O39" s="140">
        <f>('Цены на металл '!$S40+'Цены на металл '!$T40*2+6)/1000*7.85*'Цены на металл '!N$3*1.8*'Цены на металл '!N$4</f>
        <v>2303.3030399999998</v>
      </c>
      <c r="P39" s="140">
        <f>('Цены на металл '!$S40+'Цены на металл '!$T40*2+6)/1000*7.85*'Цены на металл '!O$3*1.8*'Цены на металл '!O$4</f>
        <v>2879.1287999999995</v>
      </c>
    </row>
    <row r="40" spans="1:16">
      <c r="A40" s="10" t="s">
        <v>1143</v>
      </c>
      <c r="B40" s="817"/>
      <c r="C40" s="93">
        <f>('Цены на металл '!$S41+'Цены на металл '!$T41*2+6)/1000*7.85*'Цены на металл '!B$3*1.25*'Цены на металл '!B$4</f>
        <v>251.23434374999997</v>
      </c>
      <c r="D40" s="93">
        <f>('Цены на металл '!$S41+'Цены на металл '!$T41*2+6)/1000*7.85*'Цены на металл '!C$3*1.25*'Цены на металл '!C$4</f>
        <v>289.88578124999998</v>
      </c>
      <c r="E40" s="93">
        <f>('Цены на металл '!$S41+'Цены на металл '!$T41*2+6)/1000*7.85*'Цены на металл '!D$3*1.25*'Цены на металл '!D$4</f>
        <v>347.86293750000004</v>
      </c>
      <c r="F40" s="93">
        <f>('Цены на металл '!$S41+'Цены на металл '!$T41*2+6)/1000*7.85*'Цены на металл '!E$3*1.25*'Цены на металл '!E$4</f>
        <v>425.16581250000002</v>
      </c>
      <c r="G40" s="93">
        <f>('Цены на металл '!$S41+'Цены на металл '!$T41*2+6)/1000*7.85*'Цены на металл '!F$3*1.25*'Цены на металл '!F$4</f>
        <v>541.12012499999992</v>
      </c>
      <c r="H40" s="93">
        <f>('Цены на металл '!$S41+'Цены на металл '!$T41*2+6)/1000*7.85*'Цены на металл '!G$3*1.25*'Цены на металл '!G$4</f>
        <v>756.97353749999979</v>
      </c>
      <c r="I40" s="124">
        <f>('Цены на металл '!$S41+'Цены на металл '!$T41*2+6)/1000*7.85*'Цены на металл '!H$3*('Цены на металл '!H$4*1.3)+('Цены на металл '!H$5*('Цены на металл '!$S41+'Цены на металл '!$T41*2+6)/1000*7.85*'Цены на металл '!H$3)</f>
        <v>620.087985</v>
      </c>
      <c r="J40" s="124">
        <f>('Цены на металл '!$S41+'Цены на металл '!$T41*2+6)/1000*7.85*'Цены на металл '!I$3*('Цены на металл '!I$4*1.35)+('Цены на металл '!I$5*('Цены на металл '!$S41+'Цены на металл '!$T41*2+6)/1000*7.85*'Цены на металл '!I$3)</f>
        <v>807.51772499999993</v>
      </c>
      <c r="K40" s="124">
        <f>('Цены на металл '!$S41+'Цены на металл '!$T41*2+6)/1000*7.85*'Цены на металл '!J$3*('Цены на металл '!J$4*1.3)+('Цены на металл '!J$5*('Цены на металл '!$S41+'Цены на металл '!$T41*2+6)/1000*7.85*'Цены на металл '!J$3)</f>
        <v>1152.1696199999999</v>
      </c>
      <c r="L40" s="140">
        <f>('Цены на металл '!$S41+'Цены на металл '!$T41*2+6)/1000*7.85*'Цены на металл '!K$3*1.8*'Цены на металл '!K$4</f>
        <v>1130.2869599999999</v>
      </c>
      <c r="M40" s="140">
        <f>('Цены на металл '!$S41+'Цены на металл '!$T41*2+6)/1000*7.85*'Цены на металл '!L$3*1.8*'Цены на металл '!L$4</f>
        <v>1644.05376</v>
      </c>
      <c r="N40" s="140">
        <f>('Цены на металл '!$S41+'Цены на металл '!$T41*2+6)/1000*7.85*'Цены на металл '!M$3*1.8*'Цены на металл '!M$4</f>
        <v>2055.0672</v>
      </c>
      <c r="O40" s="140">
        <f>('Цены на металл '!$S41+'Цены на металл '!$T41*2+6)/1000*7.85*'Цены на металл '!N$3*1.8*'Цены на металл '!N$4</f>
        <v>2466.0806399999997</v>
      </c>
      <c r="P40" s="140">
        <f>('Цены на металл '!$S41+'Цены на металл '!$T41*2+6)/1000*7.85*'Цены на металл '!O$3*1.8*'Цены на металл '!O$4</f>
        <v>3082.6007999999997</v>
      </c>
    </row>
    <row r="41" spans="1:16">
      <c r="A41" s="10" t="s">
        <v>1144</v>
      </c>
      <c r="B41" s="818"/>
      <c r="C41" s="820"/>
      <c r="D41" s="93">
        <f>('Цены на металл '!$S42+'Цены на металл '!$T42*2+6)/1000*7.85*'Цены на металл '!C$3*1.25*'Цены на металл '!C$4</f>
        <v>337.72171875000004</v>
      </c>
      <c r="E41" s="93">
        <f>('Цены на металл '!$S42+'Цены на металл '!$T42*2+6)/1000*7.85*'Цены на металл '!D$3*1.25*'Цены на металл '!D$4</f>
        <v>405.26606250000003</v>
      </c>
      <c r="F41" s="93">
        <f>('Цены на металл '!$S42+'Цены на металл '!$T42*2+6)/1000*7.85*'Цены на металл '!E$3*1.25*'Цены на металл '!E$4</f>
        <v>495.32518749999997</v>
      </c>
      <c r="G41" s="93">
        <f>('Цены на металл '!$S42+'Цены на металл '!$T42*2+6)/1000*7.85*'Цены на металл '!F$3*1.25*'Цены на металл '!F$4</f>
        <v>630.41387499999985</v>
      </c>
      <c r="H41" s="93">
        <f>('Цены на металл '!$S42+'Цены на металл '!$T42*2+6)/1000*7.85*'Цены на металл '!G$3*1.25*'Цены на металл '!G$4</f>
        <v>881.88666249999983</v>
      </c>
      <c r="I41" s="124">
        <f>('Цены на металл '!$S42+'Цены на металл '!$T42*2+6)/1000*7.85*'Цены на металл '!H$3*('Цены на металл '!H$4*1.3)+('Цены на металл '!H$5*('Цены на металл '!$S42+'Цены на металл '!$T42*2+6)/1000*7.85*'Цены на металл '!H$3)</f>
        <v>722.41273500000011</v>
      </c>
      <c r="J41" s="124">
        <f>('Цены на металл '!$S42+'Цены на металл '!$T42*2+6)/1000*7.85*'Цены на металл '!I$3*('Цены на металл '!I$4*1.35)+('Цены на металл '!I$5*('Цены на металл '!$S42+'Цены на металл '!$T42*2+6)/1000*7.85*'Цены на металл '!I$3)</f>
        <v>940.7714749999999</v>
      </c>
      <c r="K41" s="124">
        <f>('Цены на металл '!$S42+'Цены на металл '!$T42*2+6)/1000*7.85*'Цены на металл '!J$3*('Цены на металл '!J$4*1.3)+('Цены на металл '!J$5*('Цены на металл '!$S42+'Цены на металл '!$T42*2+6)/1000*7.85*'Цены на металл '!J$3)</f>
        <v>1342.2966200000001</v>
      </c>
      <c r="L41" s="140">
        <f>('Цены на металл '!$S42+'Цены на металл '!$T42*2+6)/1000*7.85*'Цены на металл '!K$3*1.8*'Цены на металл '!K$4</f>
        <v>1316.80296</v>
      </c>
      <c r="M41" s="140">
        <f>('Цены на металл '!$S42+'Цены на металл '!$T42*2+6)/1000*7.85*'Цены на металл '!L$3*1.8*'Цены на металл '!L$4</f>
        <v>1915.3497599999998</v>
      </c>
      <c r="N41" s="140">
        <f>('Цены на металл '!$S42+'Цены на металл '!$T42*2+6)/1000*7.85*'Цены на металл '!M$3*1.8*'Цены на металл '!M$4</f>
        <v>2394.1872000000003</v>
      </c>
      <c r="O41" s="140">
        <f>('Цены на металл '!$S42+'Цены на металл '!$T42*2+6)/1000*7.85*'Цены на металл '!N$3*1.8*'Цены на металл '!N$4</f>
        <v>2873.0246399999996</v>
      </c>
      <c r="P41" s="140">
        <f>('Цены на металл '!$S42+'Цены на металл '!$T42*2+6)/1000*7.85*'Цены на металл '!O$3*1.8*'Цены на металл '!O$4</f>
        <v>3591.2808</v>
      </c>
    </row>
    <row r="42" spans="1:16">
      <c r="A42" s="10" t="s">
        <v>1145</v>
      </c>
      <c r="B42" s="818"/>
      <c r="C42" s="820"/>
      <c r="D42" s="93">
        <f>('Цены на металл '!$S43+'Цены на металл '!$T43*2+6)/1000*7.85*'Цены на металл '!C$3*1.25*'Цены на металл '!C$4</f>
        <v>385.55765624999998</v>
      </c>
      <c r="E42" s="93">
        <f>('Цены на металл '!$S43+'Цены на металл '!$T43*2+6)/1000*7.85*'Цены на металл '!D$3*1.25*'Цены на металл '!D$4</f>
        <v>462.66918750000002</v>
      </c>
      <c r="F42" s="93">
        <f>('Цены на металл '!$S43+'Цены на металл '!$T43*2+6)/1000*7.85*'Цены на металл '!E$3*1.25*'Цены на металл '!E$4</f>
        <v>565.48456250000004</v>
      </c>
      <c r="G42" s="93">
        <f>('Цены на металл '!$S43+'Цены на металл '!$T43*2+6)/1000*7.85*'Цены на металл '!F$3*1.25*'Цены на металл '!F$4</f>
        <v>719.70762499999989</v>
      </c>
      <c r="H42" s="93">
        <f>('Цены на металл '!$S43+'Цены на металл '!$T43*2+6)/1000*7.85*'Цены на металл '!G$3*1.25*'Цены на металл '!G$4</f>
        <v>1006.7997874999999</v>
      </c>
      <c r="I42" s="124">
        <f>('Цены на металл '!$S43+'Цены на металл '!$T43*2+6)/1000*7.85*'Цены на металл '!H$3*('Цены на металл '!H$4*1.3)+('Цены на металл '!H$5*('Цены на металл '!$S43+'Цены на металл '!$T43*2+6)/1000*7.85*'Цены на металл '!H$3)</f>
        <v>824.73748499999999</v>
      </c>
      <c r="J42" s="124">
        <f>('Цены на металл '!$S43+'Цены на металл '!$T43*2+6)/1000*7.85*'Цены на металл '!I$3*('Цены на металл '!I$4*1.35)+('Цены на металл '!I$5*('Цены на металл '!$S43+'Цены на металл '!$T43*2+6)/1000*7.85*'Цены на металл '!I$3)</f>
        <v>1074.0252249999999</v>
      </c>
      <c r="K42" s="124">
        <f>('Цены на металл '!$S43+'Цены на металл '!$T43*2+6)/1000*7.85*'Цены на металл '!J$3*('Цены на металл '!J$4*1.3)+('Цены на металл '!J$5*('Цены на металл '!$S43+'Цены на металл '!$T43*2+6)/1000*7.85*'Цены на металл '!J$3)</f>
        <v>1532.42362</v>
      </c>
      <c r="L42" s="140">
        <f>('Цены на металл '!$S43+'Цены на металл '!$T43*2+6)/1000*7.85*'Цены на металл '!K$3*1.8*'Цены на металл '!K$4</f>
        <v>1503.3189600000001</v>
      </c>
      <c r="M42" s="140">
        <f>('Цены на металл '!$S43+'Цены на металл '!$T43*2+6)/1000*7.85*'Цены на металл '!L$3*1.8*'Цены на металл '!L$4</f>
        <v>2186.6457600000003</v>
      </c>
      <c r="N42" s="140">
        <f>('Цены на металл '!$S43+'Цены на металл '!$T43*2+6)/1000*7.85*'Цены на металл '!M$3*1.8*'Цены на металл '!M$4</f>
        <v>2733.3072000000002</v>
      </c>
      <c r="O42" s="140">
        <f>('Цены на металл '!$S43+'Цены на металл '!$T43*2+6)/1000*7.85*'Цены на металл '!N$3*1.8*'Цены на металл '!N$4</f>
        <v>3279.9686399999996</v>
      </c>
      <c r="P42" s="140">
        <f>('Цены на металл '!$S43+'Цены на металл '!$T43*2+6)/1000*7.85*'Цены на металл '!O$3*1.8*'Цены на металл '!O$4</f>
        <v>4099.9607999999998</v>
      </c>
    </row>
    <row r="43" spans="1:16">
      <c r="A43" s="10" t="s">
        <v>1146</v>
      </c>
      <c r="B43" s="818"/>
      <c r="C43" s="820"/>
      <c r="D43" s="93">
        <f>('Цены на металл '!$S44+'Цены на металл '!$T44*2+6)/1000*7.85*'Цены на металл '!C$3*1.25*'Цены на металл '!C$4</f>
        <v>289.88578124999998</v>
      </c>
      <c r="E43" s="93">
        <f>('Цены на металл '!$S44+'Цены на металл '!$T44*2+6)/1000*7.85*'Цены на металл '!D$3*1.25*'Цены на металл '!D$4</f>
        <v>347.86293750000004</v>
      </c>
      <c r="F43" s="93">
        <f>('Цены на металл '!$S44+'Цены на металл '!$T44*2+6)/1000*7.85*'Цены на металл '!E$3*1.25*'Цены на металл '!E$4</f>
        <v>425.16581250000002</v>
      </c>
      <c r="G43" s="93">
        <f>('Цены на металл '!$S44+'Цены на металл '!$T44*2+6)/1000*7.85*'Цены на металл '!F$3*1.25*'Цены на металл '!F$4</f>
        <v>541.12012499999992</v>
      </c>
      <c r="H43" s="93">
        <f>('Цены на металл '!$S44+'Цены на металл '!$T44*2+6)/1000*7.85*'Цены на металл '!G$3*1.25*'Цены на металл '!G$4</f>
        <v>756.97353749999979</v>
      </c>
      <c r="I43" s="124">
        <f>('Цены на металл '!$S44+'Цены на металл '!$T44*2+6)/1000*7.85*'Цены на металл '!H$3*('Цены на металл '!H$4*1.3)+('Цены на металл '!H$5*('Цены на металл '!$S44+'Цены на металл '!$T44*2+6)/1000*7.85*'Цены на металл '!H$3)</f>
        <v>620.087985</v>
      </c>
      <c r="J43" s="124">
        <f>('Цены на металл '!$S44+'Цены на металл '!$T44*2+6)/1000*7.85*'Цены на металл '!I$3*('Цены на металл '!I$4*1.35)+('Цены на металл '!I$5*('Цены на металл '!$S44+'Цены на металл '!$T44*2+6)/1000*7.85*'Цены на металл '!I$3)</f>
        <v>807.51772499999993</v>
      </c>
      <c r="K43" s="124">
        <f>('Цены на металл '!$S44+'Цены на металл '!$T44*2+6)/1000*7.85*'Цены на металл '!J$3*('Цены на металл '!J$4*1.3)+('Цены на металл '!J$5*('Цены на металл '!$S44+'Цены на металл '!$T44*2+6)/1000*7.85*'Цены на металл '!J$3)</f>
        <v>1152.1696199999999</v>
      </c>
      <c r="L43" s="140">
        <f>('Цены на металл '!$S44+'Цены на металл '!$T44*2+6)/1000*7.85*'Цены на металл '!K$3*1.8*'Цены на металл '!K$4</f>
        <v>1130.2869599999999</v>
      </c>
      <c r="M43" s="140">
        <f>('Цены на металл '!$S44+'Цены на металл '!$T44*2+6)/1000*7.85*'Цены на металл '!L$3*1.8*'Цены на металл '!L$4</f>
        <v>1644.05376</v>
      </c>
      <c r="N43" s="140">
        <f>('Цены на металл '!$S44+'Цены на металл '!$T44*2+6)/1000*7.85*'Цены на металл '!M$3*1.8*'Цены на металл '!M$4</f>
        <v>2055.0672</v>
      </c>
      <c r="O43" s="140">
        <f>('Цены на металл '!$S44+'Цены на металл '!$T44*2+6)/1000*7.85*'Цены на металл '!N$3*1.8*'Цены на металл '!N$4</f>
        <v>2466.0806399999997</v>
      </c>
      <c r="P43" s="140">
        <f>('Цены на металл '!$S44+'Цены на металл '!$T44*2+6)/1000*7.85*'Цены на металл '!O$3*1.8*'Цены на металл '!O$4</f>
        <v>3082.6007999999997</v>
      </c>
    </row>
    <row r="44" spans="1:16">
      <c r="A44" s="10" t="s">
        <v>1147</v>
      </c>
      <c r="B44" s="818"/>
      <c r="C44" s="820"/>
      <c r="D44" s="93">
        <f>('Цены на металл '!$S45+'Цены на металл '!$T45*2+6)/1000*7.85*'Цены на металл '!C$3*1.25*'Цены на металл '!C$4</f>
        <v>299.45296874999997</v>
      </c>
      <c r="E44" s="93">
        <f>('Цены на металл '!$S45+'Цены на металл '!$T45*2+6)/1000*7.85*'Цены на металл '!D$3*1.25*'Цены на металл '!D$4</f>
        <v>359.34356249999996</v>
      </c>
      <c r="F44" s="93">
        <f>('Цены на металл '!$S45+'Цены на металл '!$T45*2+6)/1000*7.85*'Цены на металл '!E$3*1.25*'Цены на металл '!E$4</f>
        <v>439.19768749999997</v>
      </c>
      <c r="G44" s="93">
        <f>('Цены на металл '!$S45+'Цены на металл '!$T45*2+6)/1000*7.85*'Цены на металл '!F$3*1.25*'Цены на металл '!F$4</f>
        <v>558.97887500000002</v>
      </c>
      <c r="H44" s="93">
        <f>('Цены на металл '!$S45+'Цены на металл '!$T45*2+6)/1000*7.85*'Цены на металл '!G$3*1.25*'Цены на металл '!G$4</f>
        <v>781.95616249999989</v>
      </c>
      <c r="I44" s="124">
        <f>('Цены на металл '!$S45+'Цены на металл '!$T45*2+6)/1000*7.85*'Цены на металл '!H$3*('Цены на металл '!H$4*1.3)+('Цены на металл '!H$5*('Цены на металл '!$S45+'Цены на металл '!$T45*2+6)/1000*7.85*'Цены на металл '!H$3)</f>
        <v>640.55293499999993</v>
      </c>
      <c r="J44" s="124">
        <f>('Цены на металл '!$S45+'Цены на металл '!$T45*2+6)/1000*7.85*'Цены на металл '!I$3*('Цены на металл '!I$4*1.35)+('Цены на металл '!I$5*('Цены на металл '!$S45+'Цены на металл '!$T45*2+6)/1000*7.85*'Цены на металл '!I$3)</f>
        <v>834.16847499999994</v>
      </c>
      <c r="K44" s="124">
        <f>('Цены на металл '!$S45+'Цены на металл '!$T45*2+6)/1000*7.85*'Цены на металл '!J$3*('Цены на металл '!J$4*1.3)+('Цены на металл '!J$5*('Цены на металл '!$S45+'Цены на металл '!$T45*2+6)/1000*7.85*'Цены на металл '!J$3)</f>
        <v>1190.1950200000001</v>
      </c>
      <c r="L44" s="140">
        <f>('Цены на металл '!$S45+'Цены на металл '!$T45*2+6)/1000*7.85*'Цены на металл '!K$3*1.8*'Цены на металл '!K$4</f>
        <v>1167.59016</v>
      </c>
      <c r="M44" s="140">
        <f>('Цены на металл '!$S45+'Цены на металл '!$T45*2+6)/1000*7.85*'Цены на металл '!L$3*1.8*'Цены на металл '!L$4</f>
        <v>1698.31296</v>
      </c>
      <c r="N44" s="140">
        <f>('Цены на металл '!$S45+'Цены на металл '!$T45*2+6)/1000*7.85*'Цены на металл '!M$3*1.8*'Цены на металл '!M$4</f>
        <v>2122.8911999999996</v>
      </c>
      <c r="O44" s="140">
        <f>('Цены на металл '!$S45+'Цены на металл '!$T45*2+6)/1000*7.85*'Цены на металл '!N$3*1.8*'Цены на металл '!N$4</f>
        <v>2547.4694399999998</v>
      </c>
      <c r="P44" s="140">
        <f>('Цены на металл '!$S45+'Цены на металл '!$T45*2+6)/1000*7.85*'Цены на металл '!O$3*1.8*'Цены на металл '!O$4</f>
        <v>3184.3367999999996</v>
      </c>
    </row>
    <row r="45" spans="1:16">
      <c r="A45" s="10" t="s">
        <v>1148</v>
      </c>
      <c r="B45" s="818"/>
      <c r="C45" s="820"/>
      <c r="D45" s="93">
        <f>('Цены на металл '!$S46+'Цены на металл '!$T46*2+6)/1000*7.85*'Цены на металл '!C$3*1.25*'Цены на металл '!C$4</f>
        <v>304.23656249999999</v>
      </c>
      <c r="E45" s="93">
        <f>('Цены на металл '!$S46+'Цены на металл '!$T46*2+6)/1000*7.85*'Цены на металл '!D$3*1.25*'Цены на металл '!D$4</f>
        <v>365.08387499999998</v>
      </c>
      <c r="F45" s="93">
        <f>('Цены на металл '!$S46+'Цены на металл '!$T46*2+6)/1000*7.85*'Цены на металл '!E$3*1.25*'Цены на металл '!E$4</f>
        <v>446.21362499999998</v>
      </c>
      <c r="G45" s="93">
        <f>('Цены на металл '!$S46+'Цены на металл '!$T46*2+6)/1000*7.85*'Цены на металл '!F$3*1.25*'Цены на металл '!F$4</f>
        <v>567.90824999999984</v>
      </c>
      <c r="H45" s="93">
        <f>('Цены на металл '!$S46+'Цены на металл '!$T46*2+6)/1000*7.85*'Цены на металл '!G$3*1.25*'Цены на металл '!G$4</f>
        <v>794.44747499999994</v>
      </c>
      <c r="I45" s="124">
        <f>('Цены на металл '!$S46+'Цены на металл '!$T46*2+6)/1000*7.85*'Цены на металл '!H$3*('Цены на металл '!H$4*1.3)+('Цены на металл '!H$5*('Цены на металл '!$S46+'Цены на металл '!$T46*2+6)/1000*7.85*'Цены на металл '!H$3)</f>
        <v>650.78540999999996</v>
      </c>
      <c r="J45" s="124">
        <f>('Цены на металл '!$S46+'Цены на металл '!$T46*2+6)/1000*7.85*'Цены на металл '!I$3*('Цены на металл '!I$4*1.35)+('Цены на металл '!I$5*('Цены на металл '!$S46+'Цены на металл '!$T46*2+6)/1000*7.85*'Цены на металл '!I$3)</f>
        <v>847.49384999999984</v>
      </c>
      <c r="K45" s="124">
        <f>('Цены на металл '!$S46+'Цены на металл '!$T46*2+6)/1000*7.85*'Цены на металл '!J$3*('Цены на металл '!J$4*1.3)+('Цены на металл '!J$5*('Цены на металл '!$S46+'Цены на металл '!$T46*2+6)/1000*7.85*'Цены на металл '!J$3)</f>
        <v>1209.2077199999999</v>
      </c>
      <c r="L45" s="140">
        <f>('Цены на металл '!$S46+'Цены на металл '!$T46*2+6)/1000*7.85*'Цены на металл '!K$3*1.8*'Цены на металл '!K$4</f>
        <v>1186.2417600000001</v>
      </c>
      <c r="M45" s="140">
        <f>('Цены на металл '!$S46+'Цены на металл '!$T46*2+6)/1000*7.85*'Цены на металл '!L$3*1.8*'Цены на металл '!L$4</f>
        <v>1725.44256</v>
      </c>
      <c r="N45" s="140">
        <f>('Цены на металл '!$S46+'Цены на металл '!$T46*2+6)/1000*7.85*'Цены на металл '!M$3*1.8*'Цены на металл '!M$4</f>
        <v>2156.8031999999998</v>
      </c>
      <c r="O45" s="140">
        <f>('Цены на металл '!$S46+'Цены на металл '!$T46*2+6)/1000*7.85*'Цены на металл '!N$3*1.8*'Цены на металл '!N$4</f>
        <v>2588.1638399999997</v>
      </c>
      <c r="P45" s="140">
        <f>('Цены на металл '!$S46+'Цены на металл '!$T46*2+6)/1000*7.85*'Цены на металл '!O$3*1.8*'Цены на металл '!O$4</f>
        <v>3235.2048</v>
      </c>
    </row>
    <row r="46" spans="1:16">
      <c r="A46" s="10" t="s">
        <v>1149</v>
      </c>
      <c r="B46" s="818"/>
      <c r="C46" s="820"/>
      <c r="D46" s="93">
        <f>('Цены на металл '!$S47+'Цены на металл '!$T47*2+6)/1000*7.85*'Цены на металл '!C$3*1.25*'Цены на металл '!C$4</f>
        <v>318.58734375000006</v>
      </c>
      <c r="E46" s="93">
        <f>('Цены на металл '!$S47+'Цены на металл '!$T47*2+6)/1000*7.85*'Цены на металл '!D$3*1.25*'Цены на металл '!D$4</f>
        <v>382.30481250000008</v>
      </c>
      <c r="F46" s="93">
        <f>('Цены на металл '!$S47+'Цены на металл '!$T47*2+6)/1000*7.85*'Цены на металл '!E$3*1.25*'Цены на металл '!E$4</f>
        <v>467.26143750000011</v>
      </c>
      <c r="G46" s="93">
        <f>('Цены на металл '!$S47+'Цены на металл '!$T47*2+6)/1000*7.85*'Цены на металл '!F$3*1.25*'Цены на металл '!F$4</f>
        <v>594.69637499999999</v>
      </c>
      <c r="H46" s="93">
        <f>('Цены на металл '!$S47+'Цены на металл '!$T47*2+6)/1000*7.85*'Цены на металл '!G$3*1.25*'Цены на металл '!G$4</f>
        <v>831.92141250000009</v>
      </c>
      <c r="I46" s="124">
        <f>('Цены на металл '!$S47+'Цены на металл '!$T47*2+6)/1000*7.85*'Цены на металл '!H$3*('Цены на металл '!H$4*1.3)+('Цены на металл '!H$5*('Цены на металл '!$S47+'Цены на металл '!$T47*2+6)/1000*7.85*'Цены на металл '!H$3)</f>
        <v>681.48283500000002</v>
      </c>
      <c r="J46" s="124">
        <f>('Цены на металл '!$S47+'Цены на металл '!$T47*2+6)/1000*7.85*'Цены на металл '!I$3*('Цены на металл '!I$4*1.35)+('Цены на металл '!I$5*('Цены на металл '!$S47+'Цены на металл '!$T47*2+6)/1000*7.85*'Цены на металл '!I$3)</f>
        <v>887.46997499999998</v>
      </c>
      <c r="K46" s="124">
        <f>('Цены на металл '!$S47+'Цены на металл '!$T47*2+6)/1000*7.85*'Цены на металл '!J$3*('Цены на металл '!J$4*1.3)+('Цены на металл '!J$5*('Цены на металл '!$S47+'Цены на металл '!$T47*2+6)/1000*7.85*'Цены на металл '!J$3)</f>
        <v>1266.2458200000001</v>
      </c>
      <c r="L46" s="140">
        <f>('Цены на металл '!$S47+'Цены на металл '!$T47*2+6)/1000*7.85*'Цены на металл '!K$3*1.8*'Цены на металл '!K$4</f>
        <v>1242.1965600000003</v>
      </c>
      <c r="M46" s="140">
        <f>('Цены на металл '!$S47+'Цены на металл '!$T47*2+6)/1000*7.85*'Цены на металл '!L$3*1.8*'Цены на металл '!L$4</f>
        <v>1806.8313600000004</v>
      </c>
      <c r="N46" s="140">
        <f>('Цены на металл '!$S47+'Цены на металл '!$T47*2+6)/1000*7.85*'Цены на металл '!M$3*1.8*'Цены на металл '!M$4</f>
        <v>2258.5392000000002</v>
      </c>
      <c r="O46" s="140">
        <f>('Цены на металл '!$S47+'Цены на металл '!$T47*2+6)/1000*7.85*'Цены на металл '!N$3*1.8*'Цены на металл '!N$4</f>
        <v>2710.2470399999997</v>
      </c>
      <c r="P46" s="140">
        <f>('Цены на металл '!$S47+'Цены на металл '!$T47*2+6)/1000*7.85*'Цены на металл '!O$3*1.8*'Цены на металл '!O$4</f>
        <v>3387.8088000000002</v>
      </c>
    </row>
    <row r="47" spans="1:16">
      <c r="A47" s="10" t="s">
        <v>1150</v>
      </c>
      <c r="B47" s="818"/>
      <c r="C47" s="820"/>
      <c r="D47" s="93">
        <f>('Цены на металл '!$S48+'Цены на металл '!$T48*2+6)/1000*7.85*'Цены на металл '!C$3*1.25*'Цены на металл '!C$4</f>
        <v>337.72171875000004</v>
      </c>
      <c r="E47" s="93">
        <f>('Цены на металл '!$S48+'Цены на металл '!$T48*2+6)/1000*7.85*'Цены на металл '!D$3*1.25*'Цены на металл '!D$4</f>
        <v>405.26606250000003</v>
      </c>
      <c r="F47" s="93">
        <f>('Цены на металл '!$S48+'Цены на металл '!$T48*2+6)/1000*7.85*'Цены на металл '!E$3*1.25*'Цены на металл '!E$4</f>
        <v>495.32518749999997</v>
      </c>
      <c r="G47" s="93">
        <f>('Цены на металл '!$S48+'Цены на металл '!$T48*2+6)/1000*7.85*'Цены на металл '!F$3*1.25*'Цены на металл '!F$4</f>
        <v>630.41387499999985</v>
      </c>
      <c r="H47" s="93">
        <f>('Цены на металл '!$S48+'Цены на металл '!$T48*2+6)/1000*7.85*'Цены на металл '!G$3*1.25*'Цены на металл '!G$4</f>
        <v>881.88666249999983</v>
      </c>
      <c r="I47" s="124">
        <f>('Цены на металл '!$S48+'Цены на металл '!$T48*2+6)/1000*7.85*'Цены на металл '!H$3*('Цены на металл '!H$4*1.3)+('Цены на металл '!H$5*('Цены на металл '!$S48+'Цены на металл '!$T48*2+6)/1000*7.85*'Цены на металл '!H$3)</f>
        <v>722.41273500000011</v>
      </c>
      <c r="J47" s="124">
        <f>('Цены на металл '!$S48+'Цены на металл '!$T48*2+6)/1000*7.85*'Цены на металл '!I$3*('Цены на металл '!I$4*1.35)+('Цены на металл '!I$5*('Цены на металл '!$S48+'Цены на металл '!$T48*2+6)/1000*7.85*'Цены на металл '!I$3)</f>
        <v>940.7714749999999</v>
      </c>
      <c r="K47" s="124">
        <f>('Цены на металл '!$S48+'Цены на металл '!$T48*2+6)/1000*7.85*'Цены на металл '!J$3*('Цены на металл '!J$4*1.3)+('Цены на металл '!J$5*('Цены на металл '!$S48+'Цены на металл '!$T48*2+6)/1000*7.85*'Цены на металл '!J$3)</f>
        <v>1342.2966200000001</v>
      </c>
      <c r="L47" s="140">
        <f>('Цены на металл '!$S48+'Цены на металл '!$T48*2+6)/1000*7.85*'Цены на металл '!K$3*1.8*'Цены на металл '!K$4</f>
        <v>1316.80296</v>
      </c>
      <c r="M47" s="140">
        <f>('Цены на металл '!$S48+'Цены на металл '!$T48*2+6)/1000*7.85*'Цены на металл '!L$3*1.8*'Цены на металл '!L$4</f>
        <v>1915.3497599999998</v>
      </c>
      <c r="N47" s="140">
        <f>('Цены на металл '!$S48+'Цены на металл '!$T48*2+6)/1000*7.85*'Цены на металл '!M$3*1.8*'Цены на металл '!M$4</f>
        <v>2394.1872000000003</v>
      </c>
      <c r="O47" s="140">
        <f>('Цены на металл '!$S48+'Цены на металл '!$T48*2+6)/1000*7.85*'Цены на металл '!N$3*1.8*'Цены на металл '!N$4</f>
        <v>2873.0246399999996</v>
      </c>
      <c r="P47" s="140">
        <f>('Цены на металл '!$S48+'Цены на металл '!$T48*2+6)/1000*7.85*'Цены на металл '!O$3*1.8*'Цены на металл '!O$4</f>
        <v>3591.2808</v>
      </c>
    </row>
    <row r="48" spans="1:16">
      <c r="A48" s="10" t="s">
        <v>1151</v>
      </c>
      <c r="B48" s="818"/>
      <c r="C48" s="820"/>
      <c r="D48" s="823"/>
      <c r="E48" s="93">
        <f>('Цены на металл '!$S49+'Цены на металл '!$T49*2+6)/1000*7.85*'Цены на металл '!D$3*1.25*'Цены на металл '!D$4</f>
        <v>462.66918750000002</v>
      </c>
      <c r="F48" s="93">
        <f>('Цены на металл '!$S49+'Цены на металл '!$T49*2+6)/1000*7.85*'Цены на металл '!E$3*1.25*'Цены на металл '!E$4</f>
        <v>565.48456250000004</v>
      </c>
      <c r="G48" s="93">
        <f>('Цены на металл '!$S49+'Цены на металл '!$T49*2+6)/1000*7.85*'Цены на металл '!F$3*1.25*'Цены на металл '!F$4</f>
        <v>719.70762499999989</v>
      </c>
      <c r="H48" s="93">
        <f>('Цены на металл '!$S49+'Цены на металл '!$T49*2+6)/1000*7.85*'Цены на металл '!G$3*1.25*'Цены на металл '!G$4</f>
        <v>1006.7997874999999</v>
      </c>
      <c r="I48" s="124">
        <f>('Цены на металл '!$S49+'Цены на металл '!$T49*2+6)/1000*7.85*'Цены на металл '!H$3*('Цены на металл '!H$4*1.3)+('Цены на металл '!H$5*('Цены на металл '!$S49+'Цены на металл '!$T49*2+6)/1000*7.85*'Цены на металл '!H$3)</f>
        <v>824.73748499999999</v>
      </c>
      <c r="J48" s="124">
        <f>('Цены на металл '!$S49+'Цены на металл '!$T49*2+6)/1000*7.85*'Цены на металл '!I$3*('Цены на металл '!I$4*1.35)+('Цены на металл '!I$5*('Цены на металл '!$S49+'Цены на металл '!$T49*2+6)/1000*7.85*'Цены на металл '!I$3)</f>
        <v>1074.0252249999999</v>
      </c>
      <c r="K48" s="124">
        <f>('Цены на металл '!$S49+'Цены на металл '!$T49*2+6)/1000*7.85*'Цены на металл '!J$3*('Цены на металл '!J$4*1.3)+('Цены на металл '!J$5*('Цены на металл '!$S49+'Цены на металл '!$T49*2+6)/1000*7.85*'Цены на металл '!J$3)</f>
        <v>1532.42362</v>
      </c>
      <c r="L48" s="140">
        <f>('Цены на металл '!$S49+'Цены на металл '!$T49*2+6)/1000*7.85*'Цены на металл '!K$3*1.8*'Цены на металл '!K$4</f>
        <v>1503.3189600000001</v>
      </c>
      <c r="M48" s="140">
        <f>('Цены на металл '!$S49+'Цены на металл '!$T49*2+6)/1000*7.85*'Цены на металл '!L$3*1.8*'Цены на металл '!L$4</f>
        <v>2186.6457600000003</v>
      </c>
      <c r="N48" s="140">
        <f>('Цены на металл '!$S49+'Цены на металл '!$T49*2+6)/1000*7.85*'Цены на металл '!M$3*1.8*'Цены на металл '!M$4</f>
        <v>2733.3072000000002</v>
      </c>
      <c r="O48" s="140">
        <f>('Цены на металл '!$S49+'Цены на металл '!$T49*2+6)/1000*7.85*'Цены на металл '!N$3*1.8*'Цены на металл '!N$4</f>
        <v>3279.9686399999996</v>
      </c>
      <c r="P48" s="140">
        <f>('Цены на металл '!$S49+'Цены на металл '!$T49*2+6)/1000*7.85*'Цены на металл '!O$3*1.8*'Цены на металл '!O$4</f>
        <v>4099.9607999999998</v>
      </c>
    </row>
    <row r="49" spans="1:16">
      <c r="A49" s="10" t="s">
        <v>1152</v>
      </c>
      <c r="B49" s="818"/>
      <c r="C49" s="820"/>
      <c r="D49" s="819"/>
      <c r="E49" s="93">
        <f>('Цены на металл '!$S50+'Цены на металл '!$T50*2+6)/1000*7.85*'Цены на металл '!D$3*1.25*'Цены на металл '!D$4</f>
        <v>520.07231250000007</v>
      </c>
      <c r="F49" s="93">
        <f>('Цены на металл '!$S50+'Цены на металл '!$T50*2+6)/1000*7.85*'Цены на металл '!E$3*1.25*'Цены на металл '!E$4</f>
        <v>635.64393750000011</v>
      </c>
      <c r="G49" s="93">
        <f>('Цены на металл '!$S50+'Цены на металл '!$T50*2+6)/1000*7.85*'Цены на металл '!F$3*1.25*'Цены на металл '!F$4</f>
        <v>809.00137500000005</v>
      </c>
      <c r="H49" s="93">
        <f>('Цены на металл '!$S50+'Цены на металл '!$T50*2+6)/1000*7.85*'Цены на металл '!G$3*1.25*'Цены на металл '!G$4</f>
        <v>1131.7129124999999</v>
      </c>
      <c r="I49" s="124">
        <f>('Цены на металл '!$S50+'Цены на металл '!$T50*2+6)/1000*7.85*'Цены на металл '!H$3*('Цены на металл '!H$4*1.3)+('Цены на металл '!H$5*('Цены на металл '!$S50+'Цены на металл '!$T50*2+6)/1000*7.85*'Цены на металл '!H$3)</f>
        <v>927.06223499999999</v>
      </c>
      <c r="J49" s="124">
        <f>('Цены на металл '!$S50+'Цены на металл '!$T50*2+6)/1000*7.85*'Цены на металл '!I$3*('Цены на металл '!I$4*1.35)+('Цены на металл '!I$5*('Цены на металл '!$S50+'Цены на металл '!$T50*2+6)/1000*7.85*'Цены на металл '!I$3)</f>
        <v>1207.2789749999999</v>
      </c>
      <c r="K49" s="124">
        <f>('Цены на металл '!$S50+'Цены на металл '!$T50*2+6)/1000*7.85*'Цены на металл '!J$3*('Цены на металл '!J$4*1.3)+('Цены на металл '!J$5*('Цены на металл '!$S50+'Цены на металл '!$T50*2+6)/1000*7.85*'Цены на металл '!J$3)</f>
        <v>1722.55062</v>
      </c>
      <c r="L49" s="140">
        <f>('Цены на металл '!$S50+'Цены на металл '!$T50*2+6)/1000*7.85*'Цены на металл '!K$3*1.8*'Цены на металл '!K$4</f>
        <v>1689.8349600000001</v>
      </c>
      <c r="M49" s="140">
        <f>('Цены на металл '!$S50+'Цены на металл '!$T50*2+6)/1000*7.85*'Цены на металл '!L$3*1.8*'Цены на металл '!L$4</f>
        <v>2457.9417600000002</v>
      </c>
      <c r="N49" s="140">
        <f>('Цены на металл '!$S50+'Цены на металл '!$T50*2+6)/1000*7.85*'Цены на металл '!M$3*1.8*'Цены на металл '!M$4</f>
        <v>3072.4272000000001</v>
      </c>
      <c r="O49" s="140">
        <f>('Цены на металл '!$S50+'Цены на металл '!$T50*2+6)/1000*7.85*'Цены на металл '!N$3*1.8*'Цены на металл '!N$4</f>
        <v>3686.9126399999996</v>
      </c>
      <c r="P49" s="140">
        <f>('Цены на металл '!$S50+'Цены на металл '!$T50*2+6)/1000*7.85*'Цены на металл '!O$3*1.8*'Цены на металл '!O$4</f>
        <v>4608.6408000000001</v>
      </c>
    </row>
    <row r="50" spans="1:16">
      <c r="A50" s="10" t="s">
        <v>1153</v>
      </c>
      <c r="B50" s="818"/>
      <c r="C50" s="820"/>
      <c r="D50" s="819"/>
      <c r="E50" s="93">
        <f>('Цены на металл '!$S51+'Цены на металл '!$T51*2+6)/1000*7.85*'Цены на металл '!D$3*1.25*'Цены на металл '!D$4</f>
        <v>405.26606250000003</v>
      </c>
      <c r="F50" s="93">
        <f>('Цены на металл '!$S51+'Цены на металл '!$T51*2+6)/1000*7.85*'Цены на металл '!E$3*1.25*'Цены на металл '!E$4</f>
        <v>495.32518749999997</v>
      </c>
      <c r="G50" s="93">
        <f>('Цены на металл '!$S51+'Цены на металл '!$T51*2+6)/1000*7.85*'Цены на металл '!F$3*1.25*'Цены на металл '!F$4</f>
        <v>630.41387499999985</v>
      </c>
      <c r="H50" s="93">
        <f>('Цены на металл '!$S51+'Цены на металл '!$T51*2+6)/1000*7.85*'Цены на металл '!G$3*1.25*'Цены на металл '!G$4</f>
        <v>881.88666249999983</v>
      </c>
      <c r="I50" s="124">
        <f>('Цены на металл '!$S51+'Цены на металл '!$T51*2+6)/1000*7.85*'Цены на металл '!H$3*('Цены на металл '!H$4*1.3)+('Цены на металл '!H$5*('Цены на металл '!$S51+'Цены на металл '!$T51*2+6)/1000*7.85*'Цены на металл '!H$3)</f>
        <v>722.41273500000011</v>
      </c>
      <c r="J50" s="124">
        <f>('Цены на металл '!$S51+'Цены на металл '!$T51*2+6)/1000*7.85*'Цены на металл '!I$3*('Цены на металл '!I$4*1.35)+('Цены на металл '!I$5*('Цены на металл '!$S51+'Цены на металл '!$T51*2+6)/1000*7.85*'Цены на металл '!I$3)</f>
        <v>940.7714749999999</v>
      </c>
      <c r="K50" s="124">
        <f>('Цены на металл '!$S51+'Цены на металл '!$T51*2+6)/1000*7.85*'Цены на металл '!J$3*('Цены на металл '!J$4*1.3)+('Цены на металл '!J$5*('Цены на металл '!$S51+'Цены на металл '!$T51*2+6)/1000*7.85*'Цены на металл '!J$3)</f>
        <v>1342.2966200000001</v>
      </c>
      <c r="L50" s="140">
        <f>('Цены на металл '!$S51+'Цены на металл '!$T51*2+6)/1000*7.85*'Цены на металл '!K$3*1.8*'Цены на металл '!K$4</f>
        <v>1316.80296</v>
      </c>
      <c r="M50" s="140">
        <f>('Цены на металл '!$S51+'Цены на металл '!$T51*2+6)/1000*7.85*'Цены на металл '!L$3*1.8*'Цены на металл '!L$4</f>
        <v>1915.3497599999998</v>
      </c>
      <c r="N50" s="140">
        <f>('Цены на металл '!$S51+'Цены на металл '!$T51*2+6)/1000*7.85*'Цены на металл '!M$3*1.8*'Цены на металл '!M$4</f>
        <v>2394.1872000000003</v>
      </c>
      <c r="O50" s="140">
        <f>('Цены на металл '!$S51+'Цены на металл '!$T51*2+6)/1000*7.85*'Цены на металл '!N$3*1.8*'Цены на металл '!N$4</f>
        <v>2873.0246399999996</v>
      </c>
      <c r="P50" s="140">
        <f>('Цены на металл '!$S51+'Цены на металл '!$T51*2+6)/1000*7.85*'Цены на металл '!O$3*1.8*'Цены на металл '!O$4</f>
        <v>3591.2808</v>
      </c>
    </row>
    <row r="51" spans="1:16">
      <c r="A51" s="10" t="s">
        <v>1154</v>
      </c>
      <c r="B51" s="818"/>
      <c r="C51" s="820"/>
      <c r="D51" s="819"/>
      <c r="E51" s="93">
        <f>('Цены на металл '!$S52+'Цены на металл '!$T52*2+6)/1000*7.85*'Цены на металл '!D$3*1.25*'Цены на металл '!D$4</f>
        <v>439.70793750000001</v>
      </c>
      <c r="F51" s="93">
        <f>('Цены на металл '!$S52+'Цены на металл '!$T52*2+6)/1000*7.85*'Цены на металл '!E$3*1.25*'Цены на металл '!E$4</f>
        <v>537.42081250000012</v>
      </c>
      <c r="G51" s="93">
        <f>('Цены на металл '!$S52+'Цены на металл '!$T52*2+6)/1000*7.85*'Цены на металл '!F$3*1.25*'Цены на металл '!F$4</f>
        <v>683.99012499999992</v>
      </c>
      <c r="H51" s="93">
        <f>('Цены на металл '!$S52+'Цены на металл '!$T52*2+6)/1000*7.85*'Цены на металл '!G$3*1.25*'Цены на металл '!G$4</f>
        <v>956.8345374999999</v>
      </c>
      <c r="I51" s="124">
        <f>('Цены на металл '!$S52+'Цены на металл '!$T52*2+6)/1000*7.85*'Цены на металл '!H$3*('Цены на металл '!H$4*1.3)+('Цены на металл '!H$5*('Цены на металл '!$S52+'Цены на металл '!$T52*2+6)/1000*7.85*'Цены на металл '!H$3)</f>
        <v>783.80758500000002</v>
      </c>
      <c r="J51" s="124">
        <f>('Цены на металл '!$S52+'Цены на металл '!$T52*2+6)/1000*7.85*'Цены на металл '!I$3*('Цены на металл '!I$4*1.35)+('Цены на металл '!I$5*('Цены на металл '!$S52+'Цены на металл '!$T52*2+6)/1000*7.85*'Цены на металл '!I$3)</f>
        <v>1020.7237249999998</v>
      </c>
      <c r="K51" s="124">
        <f>('Цены на металл '!$S52+'Цены на металл '!$T52*2+6)/1000*7.85*'Цены на металл '!J$3*('Цены на металл '!J$4*1.3)+('Цены на металл '!J$5*('Цены на металл '!$S52+'Цены на металл '!$T52*2+6)/1000*7.85*'Цены на металл '!J$3)</f>
        <v>1456.37282</v>
      </c>
      <c r="L51" s="140">
        <f>('Цены на металл '!$S52+'Цены на металл '!$T52*2+6)/1000*7.85*'Цены на металл '!K$3*1.8*'Цены на металл '!K$4</f>
        <v>1428.7125600000002</v>
      </c>
      <c r="M51" s="140">
        <f>('Цены на металл '!$S52+'Цены на металл '!$T52*2+6)/1000*7.85*'Цены на металл '!L$3*1.8*'Цены на металл '!L$4</f>
        <v>2078.1273600000004</v>
      </c>
      <c r="N51" s="140">
        <f>('Цены на металл '!$S52+'Цены на металл '!$T52*2+6)/1000*7.85*'Цены на металл '!M$3*1.8*'Цены на металл '!M$4</f>
        <v>2597.6592000000001</v>
      </c>
      <c r="O51" s="140">
        <f>('Цены на металл '!$S52+'Цены на металл '!$T52*2+6)/1000*7.85*'Цены на металл '!N$3*1.8*'Цены на металл '!N$4</f>
        <v>3117.1910399999997</v>
      </c>
      <c r="P51" s="140">
        <f>('Цены на металл '!$S52+'Цены на металл '!$T52*2+6)/1000*7.85*'Цены на металл '!O$3*1.8*'Цены на металл '!O$4</f>
        <v>3896.4888000000001</v>
      </c>
    </row>
    <row r="52" spans="1:16">
      <c r="A52" s="10" t="s">
        <v>1155</v>
      </c>
      <c r="B52" s="818"/>
      <c r="C52" s="820"/>
      <c r="D52" s="819"/>
      <c r="E52" s="93">
        <f>('Цены на металл '!$S53+'Цены на металл '!$T53*2+6)/1000*7.85*'Цены на металл '!D$3*1.25*'Цены на металл '!D$4</f>
        <v>462.66918750000002</v>
      </c>
      <c r="F52" s="93">
        <f>('Цены на металл '!$S53+'Цены на металл '!$T53*2+6)/1000*7.85*'Цены на металл '!E$3*1.25*'Цены на металл '!E$4</f>
        <v>565.48456250000004</v>
      </c>
      <c r="G52" s="93">
        <f>('Цены на металл '!$S53+'Цены на металл '!$T53*2+6)/1000*7.85*'Цены на металл '!F$3*1.25*'Цены на металл '!F$4</f>
        <v>719.70762499999989</v>
      </c>
      <c r="H52" s="93">
        <f>('Цены на металл '!$S53+'Цены на металл '!$T53*2+6)/1000*7.85*'Цены на металл '!G$3*1.25*'Цены на металл '!G$4</f>
        <v>1006.7997874999999</v>
      </c>
      <c r="I52" s="124">
        <f>('Цены на металл '!$S53+'Цены на металл '!$T53*2+6)/1000*7.85*'Цены на металл '!H$3*('Цены на металл '!H$4*1.3)+('Цены на металл '!H$5*('Цены на металл '!$S53+'Цены на металл '!$T53*2+6)/1000*7.85*'Цены на металл '!H$3)</f>
        <v>824.73748499999999</v>
      </c>
      <c r="J52" s="124">
        <f>('Цены на металл '!$S53+'Цены на металл '!$T53*2+6)/1000*7.85*'Цены на металл '!I$3*('Цены на металл '!I$4*1.35)+('Цены на металл '!I$5*('Цены на металл '!$S53+'Цены на металл '!$T53*2+6)/1000*7.85*'Цены на металл '!I$3)</f>
        <v>1074.0252249999999</v>
      </c>
      <c r="K52" s="124">
        <f>('Цены на металл '!$S53+'Цены на металл '!$T53*2+6)/1000*7.85*'Цены на металл '!J$3*('Цены на металл '!J$4*1.3)+('Цены на металл '!J$5*('Цены на металл '!$S53+'Цены на металл '!$T53*2+6)/1000*7.85*'Цены на металл '!J$3)</f>
        <v>1532.42362</v>
      </c>
      <c r="L52" s="140">
        <f>('Цены на металл '!$S53+'Цены на металл '!$T53*2+6)/1000*7.85*'Цены на металл '!K$3*1.8*'Цены на металл '!K$4</f>
        <v>1503.3189600000001</v>
      </c>
      <c r="M52" s="140">
        <f>('Цены на металл '!$S53+'Цены на металл '!$T53*2+6)/1000*7.85*'Цены на металл '!L$3*1.8*'Цены на металл '!L$4</f>
        <v>2186.6457600000003</v>
      </c>
      <c r="N52" s="140">
        <f>('Цены на металл '!$S53+'Цены на металл '!$T53*2+6)/1000*7.85*'Цены на металл '!M$3*1.8*'Цены на металл '!M$4</f>
        <v>2733.3072000000002</v>
      </c>
      <c r="O52" s="140">
        <f>('Цены на металл '!$S53+'Цены на металл '!$T53*2+6)/1000*7.85*'Цены на металл '!N$3*1.8*'Цены на металл '!N$4</f>
        <v>3279.9686399999996</v>
      </c>
      <c r="P52" s="140">
        <f>('Цены на металл '!$S53+'Цены на металл '!$T53*2+6)/1000*7.85*'Цены на металл '!O$3*1.8*'Цены на металл '!O$4</f>
        <v>4099.9607999999998</v>
      </c>
    </row>
    <row r="53" spans="1:16">
      <c r="A53" s="10" t="s">
        <v>1156</v>
      </c>
      <c r="B53" s="818"/>
      <c r="C53" s="820"/>
      <c r="D53" s="819"/>
      <c r="E53" s="93">
        <f>('Цены на металл '!$S54+'Цены на металл '!$T54*2+6)/1000*7.85*'Цены на металл '!D$3*1.25*'Цены на металл '!D$4</f>
        <v>520.07231250000007</v>
      </c>
      <c r="F53" s="93">
        <f>('Цены на металл '!$S54+'Цены на металл '!$T54*2+6)/1000*7.85*'Цены на металл '!E$3*1.25*'Цены на металл '!E$4</f>
        <v>635.64393750000011</v>
      </c>
      <c r="G53" s="93">
        <f>('Цены на металл '!$S54+'Цены на металл '!$T54*2+6)/1000*7.85*'Цены на металл '!F$3*1.25*'Цены на металл '!F$4</f>
        <v>809.00137500000005</v>
      </c>
      <c r="H53" s="93">
        <f>('Цены на металл '!$S54+'Цены на металл '!$T54*2+6)/1000*7.85*'Цены на металл '!G$3*1.25*'Цены на металл '!G$4</f>
        <v>1131.7129124999999</v>
      </c>
      <c r="I53" s="124">
        <f>('Цены на металл '!$S54+'Цены на металл '!$T54*2+6)/1000*7.85*'Цены на металл '!H$3*('Цены на металл '!H$4*1.3)+('Цены на металл '!H$5*('Цены на металл '!$S54+'Цены на металл '!$T54*2+6)/1000*7.85*'Цены на металл '!H$3)</f>
        <v>927.06223499999999</v>
      </c>
      <c r="J53" s="124">
        <f>('Цены на металл '!$S54+'Цены на металл '!$T54*2+6)/1000*7.85*'Цены на металл '!I$3*('Цены на металл '!I$4*1.35)+('Цены на металл '!I$5*('Цены на металл '!$S54+'Цены на металл '!$T54*2+6)/1000*7.85*'Цены на металл '!I$3)</f>
        <v>1207.2789749999999</v>
      </c>
      <c r="K53" s="124">
        <f>('Цены на металл '!$S54+'Цены на металл '!$T54*2+6)/1000*7.85*'Цены на металл '!J$3*('Цены на металл '!J$4*1.3)+('Цены на металл '!J$5*('Цены на металл '!$S54+'Цены на металл '!$T54*2+6)/1000*7.85*'Цены на металл '!J$3)</f>
        <v>1722.55062</v>
      </c>
      <c r="L53" s="140">
        <f>('Цены на металл '!$S54+'Цены на металл '!$T54*2+6)/1000*7.85*'Цены на металл '!K$3*1.8*'Цены на металл '!K$4</f>
        <v>1689.8349600000001</v>
      </c>
      <c r="M53" s="140">
        <f>('Цены на металл '!$S54+'Цены на металл '!$T54*2+6)/1000*7.85*'Цены на металл '!L$3*1.8*'Цены на металл '!L$4</f>
        <v>2457.9417600000002</v>
      </c>
      <c r="N53" s="140">
        <f>('Цены на металл '!$S54+'Цены на металл '!$T54*2+6)/1000*7.85*'Цены на металл '!M$3*1.8*'Цены на металл '!M$4</f>
        <v>3072.4272000000001</v>
      </c>
      <c r="O53" s="140">
        <f>('Цены на металл '!$S54+'Цены на металл '!$T54*2+6)/1000*7.85*'Цены на металл '!N$3*1.8*'Цены на металл '!N$4</f>
        <v>3686.9126399999996</v>
      </c>
      <c r="P53" s="140">
        <f>('Цены на металл '!$S54+'Цены на металл '!$T54*2+6)/1000*7.85*'Цены на металл '!O$3*1.8*'Цены на металл '!O$4</f>
        <v>4608.6408000000001</v>
      </c>
    </row>
    <row r="54" spans="1:16">
      <c r="A54" s="10" t="s">
        <v>1157</v>
      </c>
      <c r="B54" s="821"/>
      <c r="C54" s="822"/>
      <c r="D54" s="824"/>
      <c r="E54" s="93">
        <f>('Цены на металл '!$S55+'Цены на металл '!$T55*2+6)/1000*7.85*'Цены на металл '!D$3*1.25*'Цены на металл '!D$4</f>
        <v>577.47543750000011</v>
      </c>
      <c r="F54" s="93">
        <f>('Цены на металл '!$S55+'Цены на металл '!$T55*2+6)/1000*7.85*'Цены на металл '!E$3*1.25*'Цены на металл '!E$4</f>
        <v>705.80331250000006</v>
      </c>
      <c r="G54" s="93">
        <f>('Цены на металл '!$S55+'Цены на металл '!$T55*2+6)/1000*7.85*'Цены на металл '!F$3*1.25*'Цены на металл '!F$4</f>
        <v>898.29512499999998</v>
      </c>
      <c r="H54" s="93">
        <f>('Цены на металл '!$S55+'Цены на металл '!$T55*2+6)/1000*7.85*'Цены на металл '!G$3*1.25*'Цены на металл '!G$4</f>
        <v>1256.6260374999999</v>
      </c>
      <c r="I54" s="124">
        <f>('Цены на металл '!$S55+'Цены на металл '!$T55*2+6)/1000*7.85*'Цены на металл '!H$3*('Цены на металл '!H$4*1.3)+('Цены на металл '!H$5*('Цены на металл '!$S55+'Цены на металл '!$T55*2+6)/1000*7.85*'Цены на металл '!H$3)</f>
        <v>1029.3869850000001</v>
      </c>
      <c r="J54" s="124">
        <f>('Цены на металл '!$S55+'Цены на металл '!$T55*2+6)/1000*7.85*'Цены на металл '!I$3*('Цены на металл '!I$4*1.35)+('Цены на металл '!I$5*('Цены на металл '!$S55+'Цены на металл '!$T55*2+6)/1000*7.85*'Цены на металл '!I$3)</f>
        <v>1340.532725</v>
      </c>
      <c r="K54" s="124">
        <f>('Цены на металл '!$S55+'Цены на металл '!$T55*2+6)/1000*7.85*'Цены на металл '!J$3*('Цены на металл '!J$4*1.3)+('Цены на металл '!J$5*('Цены на металл '!$S55+'Цены на металл '!$T55*2+6)/1000*7.85*'Цены на металл '!J$3)</f>
        <v>1912.6776199999999</v>
      </c>
      <c r="L54" s="140">
        <f>('Цены на металл '!$S55+'Цены на металл '!$T55*2+6)/1000*7.85*'Цены на металл '!K$3*1.8*'Цены на металл '!K$4</f>
        <v>1876.3509600000004</v>
      </c>
      <c r="M54" s="140">
        <f>('Цены на металл '!$S55+'Цены на металл '!$T55*2+6)/1000*7.85*'Цены на металл '!L$3*1.8*'Цены на металл '!L$4</f>
        <v>2729.23776</v>
      </c>
      <c r="N54" s="140">
        <f>('Цены на металл '!$S55+'Цены на металл '!$T55*2+6)/1000*7.85*'Цены на металл '!M$3*1.8*'Цены на металл '!M$4</f>
        <v>3411.5472000000004</v>
      </c>
      <c r="O54" s="140">
        <f>('Цены на металл '!$S55+'Цены на металл '!$T55*2+6)/1000*7.85*'Цены на металл '!N$3*1.8*'Цены на металл '!N$4</f>
        <v>4093.8566399999995</v>
      </c>
      <c r="P54" s="140">
        <f>('Цены на металл '!$S55+'Цены на металл '!$T55*2+6)/1000*7.85*'Цены на металл '!O$3*1.8*'Цены на металл '!O$4</f>
        <v>5117.3207999999995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B1:H1"/>
    <mergeCell ref="I1:K1"/>
    <mergeCell ref="L1:P1"/>
    <mergeCell ref="B24:B40"/>
    <mergeCell ref="B41:C54"/>
    <mergeCell ref="D48:D5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6"/>
  <dimension ref="A1:T89"/>
  <sheetViews>
    <sheetView zoomScaleNormal="100" workbookViewId="0">
      <pane xSplit="16" ySplit="2" topLeftCell="Q3" activePane="bottomRight" state="frozen"/>
      <selection pane="topRight" activeCell="R1" sqref="R1"/>
      <selection pane="bottomLeft" activeCell="A3" sqref="A3"/>
      <selection pane="bottomRight" activeCell="R5" sqref="R5"/>
    </sheetView>
  </sheetViews>
  <sheetFormatPr defaultColWidth="9.125" defaultRowHeight="14.3"/>
  <cols>
    <col min="1" max="1" width="25.875" style="200" customWidth="1"/>
    <col min="2" max="2" width="7" style="354" bestFit="1" customWidth="1"/>
    <col min="3" max="5" width="5.875" style="354" bestFit="1" customWidth="1"/>
    <col min="6" max="8" width="7.625" style="354" bestFit="1" customWidth="1"/>
    <col min="9" max="16" width="7.625" style="200" bestFit="1" customWidth="1"/>
    <col min="17" max="17" width="9.625" style="200" customWidth="1"/>
    <col min="18" max="18" width="9.125" style="200" customWidth="1"/>
    <col min="19" max="19" width="20.125" style="200" customWidth="1"/>
    <col min="20" max="20" width="35.625" style="200" customWidth="1"/>
    <col min="21" max="16384" width="9.125" style="200"/>
  </cols>
  <sheetData>
    <row r="1" spans="1:20" ht="18.7" customHeight="1" thickBot="1">
      <c r="A1" s="555" t="s">
        <v>2</v>
      </c>
      <c r="B1" s="826" t="s">
        <v>2271</v>
      </c>
      <c r="C1" s="827"/>
      <c r="D1" s="827"/>
      <c r="E1" s="827"/>
      <c r="F1" s="827"/>
      <c r="G1" s="827"/>
      <c r="H1" s="828"/>
      <c r="I1" s="805" t="s">
        <v>2272</v>
      </c>
      <c r="J1" s="806"/>
      <c r="K1" s="807"/>
      <c r="L1" s="799" t="s">
        <v>2273</v>
      </c>
      <c r="M1" s="800"/>
      <c r="N1" s="800"/>
      <c r="O1" s="800"/>
      <c r="P1" s="801"/>
      <c r="Q1" s="787"/>
      <c r="R1" s="788"/>
      <c r="S1" s="797" t="s">
        <v>2304</v>
      </c>
      <c r="T1" s="825" t="s">
        <v>3413</v>
      </c>
    </row>
    <row r="2" spans="1:20" ht="19.55" customHeight="1" thickBot="1">
      <c r="A2" s="612" t="s">
        <v>2054</v>
      </c>
      <c r="B2" s="353">
        <v>0.55000000000000004</v>
      </c>
      <c r="C2" s="353">
        <v>0.7</v>
      </c>
      <c r="D2" s="353">
        <v>0.8</v>
      </c>
      <c r="E2" s="599">
        <v>1</v>
      </c>
      <c r="F2" s="599">
        <v>1.2</v>
      </c>
      <c r="G2" s="599">
        <v>1.5</v>
      </c>
      <c r="H2" s="599">
        <v>2</v>
      </c>
      <c r="I2" s="736">
        <v>1.2</v>
      </c>
      <c r="J2" s="736">
        <v>1.5</v>
      </c>
      <c r="K2" s="567">
        <v>2</v>
      </c>
      <c r="L2" s="592">
        <v>0.55000000000000004</v>
      </c>
      <c r="M2" s="592">
        <v>0.8</v>
      </c>
      <c r="N2" s="600">
        <v>1</v>
      </c>
      <c r="O2" s="592">
        <v>1.2</v>
      </c>
      <c r="P2" s="592">
        <v>1.5</v>
      </c>
      <c r="Q2" s="793">
        <v>65</v>
      </c>
      <c r="R2" s="794"/>
      <c r="S2" s="798"/>
      <c r="T2" s="796"/>
    </row>
    <row r="3" spans="1:20" ht="16.3">
      <c r="A3" s="433" t="s">
        <v>2276</v>
      </c>
      <c r="B3" s="559">
        <f>'КЛ Крышка лотка (2)'!B3*1.5*($Q$2/100+1)</f>
        <v>68.700060000000008</v>
      </c>
      <c r="C3" s="559">
        <f>'КЛ Крышка лотка (2)'!C3*1.5*($Q$2/100+1)</f>
        <v>82.086468749999995</v>
      </c>
      <c r="D3" s="559">
        <f>'КЛ Крышка лотка (2)'!D3*1.5*($Q$2/100+1)</f>
        <v>94.715156249999993</v>
      </c>
      <c r="E3" s="559">
        <f>'КЛ Крышка лотка (2)'!E3*1.6*($Q$2/100+1)</f>
        <v>121.2354</v>
      </c>
      <c r="F3" s="559">
        <f>'КЛ Крышка лотка (2)'!F3*1.5*($Q$2/100+1)</f>
        <v>138.91556250000002</v>
      </c>
      <c r="G3" s="559">
        <f>'КЛ Крышка лотка (2)'!G3*1.5*($Q$2/100+1)</f>
        <v>176.801625</v>
      </c>
      <c r="H3" s="559">
        <f>'КЛ Крышка лотка (2)'!H3*1.5*($Q$2/100+1)</f>
        <v>247.32798750000003</v>
      </c>
      <c r="I3" s="568">
        <f>'КЛ Крышка лотка (2)'!I3*1.8*($Q$2/100+1)</f>
        <v>243.123606</v>
      </c>
      <c r="J3" s="568">
        <f>'КЛ Крышка лотка (2)'!J3*1.8*($Q$2/100+1)</f>
        <v>309.43004399999995</v>
      </c>
      <c r="K3" s="568">
        <f>'КЛ Крышка лотка (2)'!K3*1.8*($Q$2/100+1)</f>
        <v>451.74175200000002</v>
      </c>
      <c r="L3" s="579">
        <f>'КЛ Крышка лотка (2)'!L3*1.8*($Q$2/100+1)</f>
        <v>443.16201600000005</v>
      </c>
      <c r="M3" s="579">
        <f>'КЛ Крышка лотка (2)'!M3*1.8*($Q$2/100+1)</f>
        <v>644.59929600000009</v>
      </c>
      <c r="N3" s="579">
        <f>'КЛ Крышка лотка (2)'!N3*1.8*($Q$2/100+1)</f>
        <v>805.74911999999995</v>
      </c>
      <c r="O3" s="579">
        <f>'КЛ Крышка лотка (2)'!O3*1.8*($Q$2/100+1)</f>
        <v>966.8989439999998</v>
      </c>
      <c r="P3" s="579">
        <f>'КЛ Крышка лотка (2)'!P3*1.8*($Q$2/100+1)</f>
        <v>1208.6236800000001</v>
      </c>
    </row>
    <row r="4" spans="1:20" ht="16.3">
      <c r="A4" s="434" t="s">
        <v>2277</v>
      </c>
      <c r="B4" s="559">
        <f>'КЛ Крышка лотка (2)'!B4*1.5*($Q$2/100+1)</f>
        <v>77.28756749999998</v>
      </c>
      <c r="C4" s="559">
        <f>'КЛ Крышка лотка (2)'!C4*1.5*($Q$2/100+1)</f>
        <v>92.347277343749965</v>
      </c>
      <c r="D4" s="559">
        <f>'КЛ Крышка лотка (2)'!D4*1.5*($Q$2/100+1)</f>
        <v>106.55455078124996</v>
      </c>
      <c r="E4" s="559">
        <f>'КЛ Крышка лотка (2)'!E4*1.6*($Q$2/100+1)</f>
        <v>136.389825</v>
      </c>
      <c r="F4" s="559">
        <f>'КЛ Крышка лотка (2)'!F4*1.5*($Q$2/100+1)</f>
        <v>156.28000781249997</v>
      </c>
      <c r="G4" s="559">
        <f>'КЛ Крышка лотка (2)'!G4*1.5*($Q$2/100+1)</f>
        <v>198.90182812499992</v>
      </c>
      <c r="H4" s="559">
        <f>'КЛ Крышка лотка (2)'!H4*1.5*($Q$2/100+1)</f>
        <v>278.24398593749993</v>
      </c>
      <c r="I4" s="568">
        <f>'КЛ Крышка лотка (2)'!I4*1.8*($Q$2/100+1)</f>
        <v>273.51405675000001</v>
      </c>
      <c r="J4" s="568">
        <f>'КЛ Крышка лотка (2)'!J4*1.8*($Q$2/100+1)</f>
        <v>348.10879949999992</v>
      </c>
      <c r="K4" s="568">
        <f>'КЛ Крышка лотка (2)'!K4*1.8*($Q$2/100+1)</f>
        <v>508.20947100000006</v>
      </c>
      <c r="L4" s="579">
        <f>'КЛ Крышка лотка (2)'!L4*1.8*($Q$2/100+1)</f>
        <v>498.55726800000002</v>
      </c>
      <c r="M4" s="579">
        <f>'КЛ Крышка лотка (2)'!M4*1.8*($Q$2/100+1)</f>
        <v>725.17420799999979</v>
      </c>
      <c r="N4" s="579">
        <f>'КЛ Крышка лотка (2)'!N4*1.8*($Q$2/100+1)</f>
        <v>906.46775999999977</v>
      </c>
      <c r="O4" s="579">
        <f>'КЛ Крышка лотка (2)'!O4*1.8*($Q$2/100+1)</f>
        <v>1087.7613119999999</v>
      </c>
      <c r="P4" s="579">
        <f>'КЛ Крышка лотка (2)'!P4*1.8*($Q$2/100+1)</f>
        <v>1359.7016399999998</v>
      </c>
    </row>
    <row r="5" spans="1:20" ht="16.3">
      <c r="A5" s="434" t="s">
        <v>2278</v>
      </c>
      <c r="B5" s="559">
        <f>'КЛ Крышка лотка (2)'!B5*1.5*($Q$2/100+1)</f>
        <v>94.462582500000011</v>
      </c>
      <c r="C5" s="559">
        <f>'КЛ Крышка лотка (2)'!C5*1.5*($Q$2/100+1)</f>
        <v>112.86889453124999</v>
      </c>
      <c r="D5" s="559">
        <f>'КЛ Крышка лотка (2)'!D5*1.5*($Q$2/100+1)</f>
        <v>130.23333984374995</v>
      </c>
      <c r="E5" s="559">
        <f>'КЛ Крышка лотка (2)'!E5*1.6*($Q$2/100+1)</f>
        <v>166.69867499999998</v>
      </c>
      <c r="F5" s="559">
        <f>'КЛ Крышка лотка (2)'!F5*1.5*($Q$2/100+1)</f>
        <v>191.00889843749999</v>
      </c>
      <c r="G5" s="559">
        <f>'КЛ Крышка лотка (2)'!G5*1.5*($Q$2/100+1)</f>
        <v>243.10223437499994</v>
      </c>
      <c r="H5" s="559">
        <f>'КЛ Крышка лотка (2)'!H5*1.5*($Q$2/100+1)</f>
        <v>340.07598281249989</v>
      </c>
      <c r="I5" s="568">
        <f>'КЛ Крышка лотка (2)'!I5*1.8*($Q$2/100+1)</f>
        <v>334.29495824999998</v>
      </c>
      <c r="J5" s="568">
        <f>'КЛ Крышка лотка (2)'!J5*1.8*($Q$2/100+1)</f>
        <v>425.46631049999996</v>
      </c>
      <c r="K5" s="568">
        <f>'КЛ Крышка лотка (2)'!K5*1.8*($Q$2/100+1)</f>
        <v>621.14490899999998</v>
      </c>
      <c r="L5" s="579">
        <f>'КЛ Крышка лотка (2)'!L5*1.8*($Q$2/100+1)</f>
        <v>609.34777199999996</v>
      </c>
      <c r="M5" s="579">
        <f>'КЛ Крышка лотка (2)'!M5*1.8*($Q$2/100+1)</f>
        <v>886.32403199999987</v>
      </c>
      <c r="N5" s="579">
        <f>'КЛ Крышка лотка (2)'!N5*1.8*($Q$2/100+1)</f>
        <v>1107.9050399999999</v>
      </c>
      <c r="O5" s="579">
        <f>'КЛ Крышка лотка (2)'!O5*1.8*($Q$2/100+1)</f>
        <v>1329.4860479999998</v>
      </c>
      <c r="P5" s="579">
        <f>'КЛ Крышка лотка (2)'!P5*1.8*($Q$2/100+1)</f>
        <v>1661.8575599999999</v>
      </c>
    </row>
    <row r="6" spans="1:20" ht="16.3">
      <c r="A6" s="433" t="s">
        <v>2279</v>
      </c>
      <c r="B6" s="559">
        <f>'КЛ Крышка лотка (2)'!B6*1.5*($Q$2/100+1)</f>
        <v>111.63759749999998</v>
      </c>
      <c r="C6" s="559">
        <f>'КЛ Крышка лотка (2)'!C6*1.5*($Q$2/100+1)</f>
        <v>133.39051171874999</v>
      </c>
      <c r="D6" s="559">
        <f>'КЛ Крышка лотка (2)'!D6*1.5*($Q$2/100+1)</f>
        <v>153.91212890624996</v>
      </c>
      <c r="E6" s="559">
        <f>'КЛ Крышка лотка (2)'!E6*1.6*($Q$2/100+1)</f>
        <v>197.00752499999999</v>
      </c>
      <c r="F6" s="559">
        <f>'КЛ Крышка лотка (2)'!F6*1.5*($Q$2/100+1)</f>
        <v>225.73778906250001</v>
      </c>
      <c r="G6" s="559">
        <f>'КЛ Крышка лотка (2)'!G6*1.5*($Q$2/100+1)</f>
        <v>287.30264062499998</v>
      </c>
      <c r="H6" s="559">
        <f>'КЛ Крышка лотка (2)'!H6*1.5*($Q$2/100+1)</f>
        <v>401.90797968749996</v>
      </c>
      <c r="I6" s="568">
        <f>'КЛ Крышка лотка (2)'!I6*1.8*($Q$2/100+1)</f>
        <v>395.07585975000012</v>
      </c>
      <c r="J6" s="568">
        <f>'КЛ Крышка лотка (2)'!J6*1.8*($Q$2/100+1)</f>
        <v>502.82382150000001</v>
      </c>
      <c r="K6" s="568">
        <f>'КЛ Крышка лотка (2)'!K6*1.8*($Q$2/100+1)</f>
        <v>734.08034699999996</v>
      </c>
      <c r="L6" s="579">
        <f>'КЛ Крышка лотка (2)'!L6*1.8*($Q$2/100+1)</f>
        <v>720.13827600000013</v>
      </c>
      <c r="M6" s="579">
        <f>'КЛ Крышка лотка (2)'!M6*1.8*($Q$2/100+1)</f>
        <v>1047.4738560000001</v>
      </c>
      <c r="N6" s="579">
        <f>'КЛ Крышка лотка (2)'!N6*1.8*($Q$2/100+1)</f>
        <v>1309.34232</v>
      </c>
      <c r="O6" s="579">
        <f>'КЛ Крышка лотка (2)'!O6*1.8*($Q$2/100+1)</f>
        <v>1571.2107839999999</v>
      </c>
      <c r="P6" s="579">
        <f>'КЛ Крышка лотка (2)'!P6*1.8*($Q$2/100+1)</f>
        <v>1964.0134800000001</v>
      </c>
    </row>
    <row r="7" spans="1:20" ht="16.3">
      <c r="A7" s="433" t="s">
        <v>2280</v>
      </c>
      <c r="B7" s="559">
        <f>'КЛ Крышка лотка (2)'!B7*1.5*($Q$2/100+1)</f>
        <v>154.57513499999996</v>
      </c>
      <c r="C7" s="559">
        <f>'КЛ Крышка лотка (2)'!C7*1.5*($Q$2/100+1)</f>
        <v>184.69455468749993</v>
      </c>
      <c r="D7" s="559">
        <f>'КЛ Крышка лотка (2)'!D7*1.5*($Q$2/100+1)</f>
        <v>213.10910156249992</v>
      </c>
      <c r="E7" s="559">
        <f>'КЛ Крышка лотка (2)'!E7*1.6*($Q$2/100+1)</f>
        <v>272.77965</v>
      </c>
      <c r="F7" s="559">
        <f>'КЛ Крышка лотка (2)'!F7*1.5*($Q$2/100+1)</f>
        <v>312.56001562499995</v>
      </c>
      <c r="G7" s="559">
        <f>'КЛ Крышка лотка (2)'!G7*1.5*($Q$2/100+1)</f>
        <v>397.80365624999985</v>
      </c>
      <c r="H7" s="559">
        <f>'КЛ Крышка лотка (2)'!H7*1.5*($Q$2/100+1)</f>
        <v>556.48797187499986</v>
      </c>
      <c r="I7" s="568">
        <f>'КЛ Крышка лотка (2)'!I7*1.8*($Q$2/100+1)</f>
        <v>547.02811350000002</v>
      </c>
      <c r="J7" s="568">
        <f>'КЛ Крышка лотка (2)'!J7*1.8*($Q$2/100+1)</f>
        <v>696.21759899999984</v>
      </c>
      <c r="K7" s="568">
        <f>'КЛ Крышка лотка (2)'!K7*1.8*($Q$2/100+1)</f>
        <v>1016.4189420000001</v>
      </c>
      <c r="L7" s="579">
        <f>'КЛ Крышка лотка (2)'!L7*1.8*($Q$2/100+1)</f>
        <v>997.11453600000004</v>
      </c>
      <c r="M7" s="579">
        <f>'КЛ Крышка лотка (2)'!M7*1.8*($Q$2/100+1)</f>
        <v>1450.3484159999996</v>
      </c>
      <c r="N7" s="579">
        <f>'КЛ Крышка лотка (2)'!N7*1.8*($Q$2/100+1)</f>
        <v>1812.9355199999995</v>
      </c>
      <c r="O7" s="579">
        <f>'КЛ Крышка лотка (2)'!O7*1.8*($Q$2/100+1)</f>
        <v>2175.5226239999997</v>
      </c>
      <c r="P7" s="579">
        <f>'КЛ Крышка лотка (2)'!P7*1.8*($Q$2/100+1)</f>
        <v>2719.4032799999995</v>
      </c>
    </row>
    <row r="8" spans="1:20" ht="16.3">
      <c r="A8" s="433" t="s">
        <v>2281</v>
      </c>
      <c r="B8" s="559">
        <f>'КЛ Крышка лотка (2)'!B8*1.5*($Q$2/100+1)</f>
        <v>197.51267249999998</v>
      </c>
      <c r="C8" s="559">
        <f>'КЛ Крышка лотка (2)'!C8*1.5*($Q$2/100+1)</f>
        <v>235.99859765624998</v>
      </c>
      <c r="D8" s="559">
        <f>'КЛ Крышка лотка (2)'!D8*1.5*($Q$2/100+1)</f>
        <v>272.30607421874998</v>
      </c>
      <c r="E8" s="559">
        <f>'КЛ Крышка лотка (2)'!E8*1.6*($Q$2/100+1)</f>
        <v>348.55177500000002</v>
      </c>
      <c r="F8" s="559">
        <f>'КЛ Крышка лотка (2)'!F8*1.5*($Q$2/100+1)</f>
        <v>399.38224218750003</v>
      </c>
      <c r="G8" s="559">
        <f>'КЛ Крышка лотка (2)'!G8*1.5*($Q$2/100+1)</f>
        <v>508.30467187499994</v>
      </c>
      <c r="H8" s="559">
        <f>'КЛ Крышка лотка (2)'!H8*1.5*($Q$2/100+1)</f>
        <v>711.06796406249998</v>
      </c>
      <c r="I8" s="568">
        <f>'КЛ Крышка лотка (2)'!I8*1.8*($Q$2/100+1)</f>
        <v>698.98036725000009</v>
      </c>
      <c r="J8" s="568">
        <f>'КЛ Крышка лотка (2)'!J8*1.8*($Q$2/100+1)</f>
        <v>889.61137650000001</v>
      </c>
      <c r="K8" s="568">
        <f>'КЛ Крышка лотка (2)'!K8*1.8*($Q$2/100+1)</f>
        <v>1298.757537</v>
      </c>
      <c r="L8" s="579">
        <f>'КЛ Крышка лотка (2)'!L8*1.8*($Q$2/100+1)</f>
        <v>1274.0907960000002</v>
      </c>
      <c r="M8" s="579">
        <f>'КЛ Крышка лотка (2)'!M8*1.8*($Q$2/100+1)</f>
        <v>1853.2229760000002</v>
      </c>
      <c r="N8" s="579">
        <f>'КЛ Крышка лотка (2)'!N8*1.8*($Q$2/100+1)</f>
        <v>2316.5287200000002</v>
      </c>
      <c r="O8" s="579">
        <f>'КЛ Крышка лотка (2)'!O8*1.8*($Q$2/100+1)</f>
        <v>2779.8344639999996</v>
      </c>
      <c r="P8" s="579">
        <f>'КЛ Крышка лотка (2)'!P8*1.8*($Q$2/100+1)</f>
        <v>3474.7930800000004</v>
      </c>
    </row>
    <row r="9" spans="1:20" ht="16.3">
      <c r="A9" s="433" t="s">
        <v>2282</v>
      </c>
      <c r="B9" s="559">
        <f>'КЛ Крышка лотка (2)'!B9*1.5*($Q$2/100+1)</f>
        <v>240.45020999999997</v>
      </c>
      <c r="C9" s="559">
        <f>'КЛ Крышка лотка (2)'!C9*1.5*($Q$2/100+1)</f>
        <v>287.30264062499998</v>
      </c>
      <c r="D9" s="559">
        <f>'КЛ Крышка лотка (2)'!D9*1.5*($Q$2/100+1)</f>
        <v>331.50304687499994</v>
      </c>
      <c r="E9" s="559">
        <f>'КЛ Крышка лотка (2)'!E9*1.6*($Q$2/100+1)</f>
        <v>424.32389999999998</v>
      </c>
      <c r="F9" s="559">
        <f>'КЛ Крышка лотка (2)'!F9*1.5*($Q$2/100+1)</f>
        <v>486.20446875000005</v>
      </c>
      <c r="G9" s="559">
        <f>'КЛ Крышка лотка (2)'!G9*1.5*($Q$2/100+1)</f>
        <v>618.80568749999986</v>
      </c>
      <c r="H9" s="559">
        <f>'КЛ Крышка лотка (2)'!H9*1.5*($Q$2/100+1)</f>
        <v>865.64795624999999</v>
      </c>
      <c r="I9" s="568">
        <f>'КЛ Крышка лотка (2)'!I9*1.8*($Q$2/100+1)</f>
        <v>850.93262099999993</v>
      </c>
      <c r="J9" s="568">
        <f>'КЛ Крышка лотка (2)'!J9*1.8*($Q$2/100+1)</f>
        <v>1083.0051539999999</v>
      </c>
      <c r="K9" s="568">
        <f>'КЛ Крышка лотка (2)'!K9*1.8*($Q$2/100+1)</f>
        <v>1581.0961319999999</v>
      </c>
      <c r="L9" s="579">
        <f>'КЛ Крышка лотка (2)'!L9*1.8*($Q$2/100+1)</f>
        <v>1551.0670560000001</v>
      </c>
      <c r="M9" s="579">
        <f>'КЛ Крышка лотка (2)'!M9*1.8*($Q$2/100+1)</f>
        <v>2256.0975359999998</v>
      </c>
      <c r="N9" s="579">
        <f>'КЛ Крышка лотка (2)'!N9*1.8*($Q$2/100+1)</f>
        <v>2820.12192</v>
      </c>
      <c r="O9" s="579">
        <f>'КЛ Крышка лотка (2)'!O9*1.8*($Q$2/100+1)</f>
        <v>3384.1463039999994</v>
      </c>
      <c r="P9" s="579">
        <f>'КЛ Крышка лотка (2)'!P9*1.8*($Q$2/100+1)</f>
        <v>4230.1828799999994</v>
      </c>
    </row>
    <row r="10" spans="1:20" ht="16.3">
      <c r="A10" s="433" t="s">
        <v>2283</v>
      </c>
      <c r="B10" s="559">
        <f>'КЛ Крышка лотка (2)'!B10*1.5*($Q$2/100+1)</f>
        <v>283.38774749999999</v>
      </c>
      <c r="C10" s="559">
        <f>'КЛ Крышка лотка (2)'!C10*1.5*($Q$2/100+1)</f>
        <v>338.60668359375006</v>
      </c>
      <c r="D10" s="559">
        <f>'КЛ Крышка лотка (2)'!D10*1.5*($Q$2/100+1)</f>
        <v>390.70001953125001</v>
      </c>
      <c r="E10" s="559">
        <f>'КЛ Крышка лотка (2)'!E10*1.6*($Q$2/100+1)</f>
        <v>500.096025</v>
      </c>
      <c r="F10" s="559">
        <f>'КЛ Крышка лотка (2)'!F10*1.5*($Q$2/100+1)</f>
        <v>573.02669531250001</v>
      </c>
      <c r="G10" s="559">
        <f>'КЛ Крышка лотка (2)'!G10*1.5*($Q$2/100+1)</f>
        <v>729.30670312499979</v>
      </c>
      <c r="H10" s="559">
        <f>'КЛ Крышка лотка (2)'!H10*1.5*($Q$2/100+1)</f>
        <v>1020.2279484374998</v>
      </c>
      <c r="I10" s="568">
        <f>'КЛ Крышка лотка (2)'!I10*1.8*($Q$2/100+1)</f>
        <v>1002.8848747500002</v>
      </c>
      <c r="J10" s="568">
        <f>'КЛ Крышка лотка (2)'!J10*1.8*($Q$2/100+1)</f>
        <v>1276.3989314999997</v>
      </c>
      <c r="K10" s="568">
        <f>'КЛ Крышка лотка (2)'!K10*1.8*($Q$2/100+1)</f>
        <v>1863.4347270000003</v>
      </c>
      <c r="L10" s="579">
        <f>'КЛ Крышка лотка (2)'!L10*1.8*($Q$2/100+1)</f>
        <v>1828.043316</v>
      </c>
      <c r="M10" s="579">
        <f>'КЛ Крышка лотка (2)'!M10*1.8*($Q$2/100+1)</f>
        <v>2658.972096</v>
      </c>
      <c r="N10" s="579">
        <f>'КЛ Крышка лотка (2)'!N10*1.8*($Q$2/100+1)</f>
        <v>3323.7151199999998</v>
      </c>
      <c r="O10" s="579">
        <f>'КЛ Крышка лотка (2)'!O10*1.8*($Q$2/100+1)</f>
        <v>3988.4581440000002</v>
      </c>
      <c r="P10" s="579">
        <f>'КЛ Крышка лотка (2)'!P10*1.8*($Q$2/100+1)</f>
        <v>4985.5726800000002</v>
      </c>
    </row>
    <row r="11" spans="1:20" ht="16.3">
      <c r="A11" s="433" t="s">
        <v>2284</v>
      </c>
      <c r="B11" s="559">
        <f>'КЛ Крышка лотка (2)'!B11*1.5*($Q$2/100+1)</f>
        <v>369.26282250000003</v>
      </c>
      <c r="C11" s="559">
        <f>'КЛ Крышка лотка (2)'!C11*1.5*($Q$2/100+1)</f>
        <v>441.21476953124989</v>
      </c>
      <c r="D11" s="559">
        <f>'КЛ Крышка лотка (2)'!D11*1.5*($Q$2/100+1)</f>
        <v>509.09396484375003</v>
      </c>
      <c r="E11" s="559">
        <f>'КЛ Крышка лотка (2)'!E11*1.6*($Q$2/100+1)</f>
        <v>651.64027499999997</v>
      </c>
      <c r="F11" s="559">
        <f>'КЛ Крышка лотка (2)'!F11*1.5*($Q$2/100+1)</f>
        <v>746.67114843749994</v>
      </c>
      <c r="G11" s="559">
        <f>'КЛ Крышка лотка (2)'!G11*1.5*($Q$2/100+1)</f>
        <v>950.30873437499974</v>
      </c>
      <c r="H11" s="559">
        <f>'КЛ Крышка лотка (2)'!H11*1.5*($Q$2/100+1)</f>
        <v>1329.3879328124997</v>
      </c>
      <c r="I11" s="568">
        <f>'КЛ Крышка лотка (2)'!I11*1.8*($Q$2/100+1)</f>
        <v>1306.78938225</v>
      </c>
      <c r="J11" s="568">
        <f>'КЛ Крышка лотка (2)'!J11*1.8*($Q$2/100+1)</f>
        <v>1663.1864864999998</v>
      </c>
      <c r="K11" s="568">
        <f>'КЛ Крышка лотка (2)'!K11*1.8*($Q$2/100+1)</f>
        <v>2428.1119170000002</v>
      </c>
      <c r="L11" s="579">
        <f>'КЛ Крышка лотка (2)'!L11*1.8*($Q$2/100+1)</f>
        <v>2381.9958359999996</v>
      </c>
      <c r="M11" s="579">
        <f>'КЛ Крышка лотка (2)'!M11*1.8*($Q$2/100+1)</f>
        <v>3464.7212160000008</v>
      </c>
      <c r="N11" s="579">
        <f>'КЛ Крышка лотка (2)'!N11*1.8*($Q$2/100+1)</f>
        <v>4330.9015199999994</v>
      </c>
      <c r="O11" s="579">
        <f>'КЛ Крышка лотка (2)'!O11*1.8*($Q$2/100+1)</f>
        <v>5197.0818239999999</v>
      </c>
      <c r="P11" s="579">
        <f>'КЛ Крышка лотка (2)'!P11*1.8*($Q$2/100+1)</f>
        <v>6496.3522800000001</v>
      </c>
    </row>
    <row r="12" spans="1:20" ht="16.3">
      <c r="A12" s="433" t="s">
        <v>2285</v>
      </c>
      <c r="B12" s="559" t="s">
        <v>770</v>
      </c>
      <c r="C12" s="559">
        <f>'КЛ Крышка лотка (2)'!C12*1.5*($Q$2/100+1)</f>
        <v>543.82285546874994</v>
      </c>
      <c r="D12" s="559">
        <f>'КЛ Крышка лотка (2)'!D12*1.5*($Q$2/100+1)</f>
        <v>627.48791015625</v>
      </c>
      <c r="E12" s="559">
        <f>'КЛ Крышка лотка (2)'!E12*1.6*($Q$2/100+1)</f>
        <v>803.18452500000001</v>
      </c>
      <c r="F12" s="559">
        <f>'КЛ Крышка лотка (2)'!F12*1.5*($Q$2/100+1)</f>
        <v>920.31560156250009</v>
      </c>
      <c r="G12" s="559">
        <f>'КЛ Крышка лотка (2)'!G12*1.5*($Q$2/100+1)</f>
        <v>1171.3107656249997</v>
      </c>
      <c r="H12" s="559">
        <f>'КЛ Крышка лотка (2)'!H12*1.5*($Q$2/100+1)</f>
        <v>1638.5479171874997</v>
      </c>
      <c r="I12" s="568">
        <f>'КЛ Крышка лотка (2)'!I12*1.8*($Q$2/100+1)</f>
        <v>1610.6938897499999</v>
      </c>
      <c r="J12" s="568">
        <f>'КЛ Крышка лотка (2)'!J12*1.8*($Q$2/100+1)</f>
        <v>2049.9740414999997</v>
      </c>
      <c r="K12" s="568">
        <f>'КЛ Крышка лотка (2)'!K12*1.8*($Q$2/100+1)</f>
        <v>2992.7891070000005</v>
      </c>
      <c r="L12" s="579" t="s">
        <v>770</v>
      </c>
      <c r="M12" s="579">
        <f>'КЛ Крышка лотка (2)'!M12*1.8*($Q$2/100+1)</f>
        <v>4270.4703360000012</v>
      </c>
      <c r="N12" s="579">
        <f>'КЛ Крышка лотка (2)'!N12*1.8*($Q$2/100+1)</f>
        <v>5338.0879199999999</v>
      </c>
      <c r="O12" s="579">
        <f>'КЛ Крышка лотка (2)'!O12*1.8*($Q$2/100+1)</f>
        <v>6405.7055039999996</v>
      </c>
      <c r="P12" s="579">
        <f>'КЛ Крышка лотка (2)'!P12*1.8*($Q$2/100+1)</f>
        <v>8007.1318800000017</v>
      </c>
    </row>
    <row r="13" spans="1:20" ht="17" thickBot="1">
      <c r="A13" s="435" t="s">
        <v>2286</v>
      </c>
      <c r="B13" s="561" t="s">
        <v>770</v>
      </c>
      <c r="C13" s="561">
        <f>'КЛ Крышка лотка (2)'!C13*1.5*($Q$2/100+1)</f>
        <v>646.43094140624999</v>
      </c>
      <c r="D13" s="561">
        <f>'КЛ Крышка лотка (2)'!D13*1.5*($Q$2/100+1)</f>
        <v>745.88185546875002</v>
      </c>
      <c r="E13" s="561">
        <f>'КЛ Крышка лотка (2)'!E13*1.6*($Q$2/100+1)</f>
        <v>954.72877500000004</v>
      </c>
      <c r="F13" s="561">
        <f>'КЛ Крышка лотка (2)'!F13*1.5*($Q$2/100+1)</f>
        <v>1093.9600546874999</v>
      </c>
      <c r="G13" s="561">
        <f>'КЛ Крышка лотка (2)'!G13*1.5*($Q$2/100+1)</f>
        <v>1392.312796875</v>
      </c>
      <c r="H13" s="561">
        <f>'КЛ Крышка лотка (2)'!H13*1.5*($Q$2/100+1)</f>
        <v>1947.7079015625</v>
      </c>
      <c r="I13" s="771">
        <f>'КЛ Крышка лотка (2)'!I13*1.8*($Q$2/100+1)</f>
        <v>1914.5983972500001</v>
      </c>
      <c r="J13" s="771">
        <f>'КЛ Крышка лотка (2)'!J13*1.8*($Q$2/100+1)</f>
        <v>2436.7615964999995</v>
      </c>
      <c r="K13" s="771">
        <f>'КЛ Крышка лотка (2)'!K13*1.8*($Q$2/100+1)</f>
        <v>3557.4662969999999</v>
      </c>
      <c r="L13" s="581" t="s">
        <v>770</v>
      </c>
      <c r="M13" s="581">
        <f>'КЛ Крышка лотка (2)'!M13*1.8*($Q$2/100+1)</f>
        <v>5076.2194559999998</v>
      </c>
      <c r="N13" s="581">
        <f>'КЛ Крышка лотка (2)'!N13*1.8*($Q$2/100+1)</f>
        <v>6345.2743199999995</v>
      </c>
      <c r="O13" s="581">
        <f>'КЛ Крышка лотка (2)'!O13*1.8*($Q$2/100+1)</f>
        <v>7614.3291840000011</v>
      </c>
      <c r="P13" s="581">
        <f>'КЛ Крышка лотка (2)'!P13*1.8*($Q$2/100+1)</f>
        <v>9517.9114800000007</v>
      </c>
    </row>
    <row r="14" spans="1:20" s="258" customFormat="1"/>
    <row r="15" spans="1:20" s="258" customFormat="1"/>
    <row r="16" spans="1:20" s="258" customFormat="1"/>
    <row r="17" s="258" customFormat="1"/>
    <row r="18" s="258" customFormat="1"/>
    <row r="19" s="258" customFormat="1"/>
    <row r="20" s="258" customFormat="1"/>
    <row r="21" s="258" customFormat="1"/>
    <row r="22" s="258" customFormat="1"/>
    <row r="23" s="258" customFormat="1"/>
    <row r="24" s="258" customFormat="1"/>
    <row r="25" s="258" customFormat="1"/>
    <row r="26" s="258" customFormat="1"/>
    <row r="27" s="258" customFormat="1"/>
    <row r="28" s="258" customFormat="1"/>
    <row r="29" s="258" customFormat="1"/>
    <row r="30" s="258" customFormat="1"/>
    <row r="31" s="258" customFormat="1"/>
    <row r="32" s="258" customFormat="1"/>
    <row r="33" s="258" customFormat="1"/>
    <row r="34" s="258" customFormat="1"/>
    <row r="35" s="258" customFormat="1"/>
    <row r="36" s="258" customFormat="1"/>
    <row r="37" s="258" customFormat="1"/>
    <row r="38" s="258" customFormat="1"/>
    <row r="39" s="258" customFormat="1"/>
    <row r="40" s="258" customFormat="1"/>
    <row r="41" s="258" customFormat="1"/>
    <row r="42" s="258" customFormat="1"/>
    <row r="43" s="258" customFormat="1"/>
    <row r="44" s="258" customFormat="1"/>
    <row r="45" s="258" customFormat="1"/>
    <row r="46" s="258" customFormat="1"/>
    <row r="47" s="258" customFormat="1"/>
    <row r="48" s="258" customFormat="1"/>
    <row r="49" s="258" customFormat="1"/>
    <row r="50" s="258" customFormat="1"/>
    <row r="51" s="258" customFormat="1"/>
    <row r="52" s="258" customFormat="1"/>
    <row r="53" s="258" customFormat="1"/>
    <row r="54" s="258" customFormat="1"/>
    <row r="55" s="258" customFormat="1"/>
    <row r="56" s="258" customFormat="1"/>
    <row r="57" s="258" customFormat="1"/>
    <row r="58" s="258" customFormat="1"/>
    <row r="59" s="258" customFormat="1"/>
    <row r="60" s="258" customFormat="1"/>
    <row r="61" s="258" customFormat="1"/>
    <row r="62" s="258" customFormat="1"/>
    <row r="63" s="258" customFormat="1"/>
    <row r="64" s="258" customFormat="1"/>
    <row r="65" s="258" customFormat="1"/>
    <row r="66" s="258" customFormat="1"/>
    <row r="67" s="258" customFormat="1"/>
    <row r="68" s="258" customFormat="1"/>
    <row r="69" s="258" customFormat="1"/>
    <row r="70" s="258" customFormat="1"/>
    <row r="71" s="258" customFormat="1"/>
    <row r="72" s="258" customFormat="1"/>
    <row r="73" s="258" customFormat="1"/>
    <row r="74" s="258" customFormat="1"/>
    <row r="75" s="258" customFormat="1"/>
    <row r="76" s="258" customFormat="1"/>
    <row r="77" s="258" customFormat="1"/>
    <row r="78" s="258" customFormat="1"/>
    <row r="79" s="258" customFormat="1"/>
    <row r="80" s="258" customFormat="1"/>
    <row r="81" s="258" customFormat="1"/>
    <row r="82" s="258" customFormat="1"/>
    <row r="83" s="258" customFormat="1"/>
    <row r="84" s="258" customFormat="1"/>
    <row r="85" s="258" customFormat="1"/>
    <row r="86" s="258" customFormat="1"/>
    <row r="87" s="258" customFormat="1"/>
    <row r="88" s="258" customFormat="1"/>
    <row r="89" s="258" customFormat="1"/>
  </sheetData>
  <sheetProtection formatCells="0" formatColumns="0" formatRows="0" insertColumns="0" insertRows="0" insertHyperlinks="0" deleteColumns="0" deleteRows="0" sort="0" autoFilter="0" pivotTables="0"/>
  <mergeCells count="7">
    <mergeCell ref="T1:T2"/>
    <mergeCell ref="S1:S2"/>
    <mergeCell ref="L1:P1"/>
    <mergeCell ref="B1:H1"/>
    <mergeCell ref="I1:K1"/>
    <mergeCell ref="Q1:R1"/>
    <mergeCell ref="Q2:R2"/>
  </mergeCells>
  <hyperlinks>
    <hyperlink ref="S1" location="ГЛАВНАЯ!A1" display="На главную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2"/>
  <dimension ref="A1:O1070"/>
  <sheetViews>
    <sheetView zoomScaleNormal="10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K10" sqref="K10"/>
    </sheetView>
  </sheetViews>
  <sheetFormatPr defaultColWidth="9.125" defaultRowHeight="14.3"/>
  <cols>
    <col min="1" max="1" width="58.25" style="422" bestFit="1" customWidth="1"/>
    <col min="2" max="7" width="7.625" style="356" bestFit="1" customWidth="1"/>
    <col min="8" max="9" width="7.625" style="632" bestFit="1" customWidth="1"/>
    <col min="10" max="10" width="15.625" style="751" customWidth="1"/>
    <col min="11" max="11" width="19.25" style="200" customWidth="1"/>
    <col min="12" max="12" width="17.875" style="200" customWidth="1"/>
    <col min="13" max="13" width="32.75" style="200" customWidth="1"/>
    <col min="14" max="16384" width="9.125" style="200"/>
  </cols>
  <sheetData>
    <row r="1" spans="1:15" ht="37.549999999999997" customHeight="1">
      <c r="A1" s="836" t="s">
        <v>2</v>
      </c>
      <c r="B1" s="833" t="s">
        <v>2271</v>
      </c>
      <c r="C1" s="834"/>
      <c r="D1" s="834"/>
      <c r="E1" s="834"/>
      <c r="F1" s="834"/>
      <c r="G1" s="835"/>
      <c r="H1" s="831" t="s">
        <v>2272</v>
      </c>
      <c r="I1" s="832"/>
      <c r="J1" s="746" t="s">
        <v>2273</v>
      </c>
      <c r="K1" s="251"/>
      <c r="L1" s="797" t="s">
        <v>2304</v>
      </c>
      <c r="M1" s="829" t="s">
        <v>3595</v>
      </c>
    </row>
    <row r="2" spans="1:15" ht="20.25" customHeight="1" thickBot="1">
      <c r="A2" s="837"/>
      <c r="B2" s="838">
        <v>0.55000000000000004</v>
      </c>
      <c r="C2" s="839">
        <v>0.7</v>
      </c>
      <c r="D2" s="839">
        <v>0.8</v>
      </c>
      <c r="E2" s="839">
        <v>1</v>
      </c>
      <c r="F2" s="839">
        <v>1.2</v>
      </c>
      <c r="G2" s="839">
        <v>1.5</v>
      </c>
      <c r="H2" s="840">
        <v>1.2</v>
      </c>
      <c r="I2" s="840">
        <v>1.5</v>
      </c>
      <c r="J2" s="841">
        <v>0.8</v>
      </c>
      <c r="K2" s="251">
        <v>65</v>
      </c>
      <c r="L2" s="798"/>
      <c r="M2" s="830"/>
    </row>
    <row r="3" spans="1:15" s="254" customFormat="1" ht="14.95" customHeight="1" thickBot="1">
      <c r="A3" s="745" t="s">
        <v>3305</v>
      </c>
      <c r="B3" s="838"/>
      <c r="C3" s="839"/>
      <c r="D3" s="839"/>
      <c r="E3" s="839"/>
      <c r="F3" s="839"/>
      <c r="G3" s="839"/>
      <c r="H3" s="840"/>
      <c r="I3" s="840"/>
      <c r="J3" s="841"/>
    </row>
    <row r="4" spans="1:15" ht="14.95" customHeight="1">
      <c r="A4" s="413" t="s">
        <v>2953</v>
      </c>
      <c r="B4" s="737">
        <f>'Аксессуары (2)'!B4*1.3*($K$2/100+1)</f>
        <v>260.11943099999996</v>
      </c>
      <c r="C4" s="737">
        <f>'Аксессуары (2)'!C4*1.3*($K$2/100+1)</f>
        <v>289.02159</v>
      </c>
      <c r="D4" s="737">
        <f>'Аксессуары (2)'!D4*1.3*($K$2/100+1)</f>
        <v>317.92374900000004</v>
      </c>
      <c r="E4" s="737">
        <f>'Аксессуары (2)'!E4*1.8*($K$2/100+1)</f>
        <v>480.22048799999993</v>
      </c>
      <c r="F4" s="737">
        <f>'Аксессуары (2)'!F4*1.8*($K$2/100+1)</f>
        <v>528.24253680000004</v>
      </c>
      <c r="G4" s="737">
        <f>'Аксессуары (2)'!G4*1.8*($K$2/100+1)</f>
        <v>576.26458559999992</v>
      </c>
      <c r="H4" s="738">
        <f>'Аксессуары (2)'!H4*1.8*($K$2/100+1)</f>
        <v>601.78139999999996</v>
      </c>
      <c r="I4" s="738">
        <f>'Аксессуары (2)'!J4*1.2*($K$2/100+1)</f>
        <v>800.36747999999989</v>
      </c>
      <c r="J4" s="739">
        <f>'Аксессуары (2)'!J4*1.8*($K$2/100+1)</f>
        <v>1200.5512200000001</v>
      </c>
      <c r="K4" s="202"/>
      <c r="L4" s="202"/>
      <c r="M4" s="202"/>
      <c r="N4" s="202"/>
      <c r="O4" s="202"/>
    </row>
    <row r="5" spans="1:15" ht="14.95" customHeight="1">
      <c r="A5" s="414" t="s">
        <v>2954</v>
      </c>
      <c r="B5" s="737">
        <f>'Аксессуары (2)'!B5*1.3*($K$2/100+1)</f>
        <v>267.14645100000001</v>
      </c>
      <c r="C5" s="737">
        <f>'Аксессуары (2)'!C5*1.3*($K$2/100+1)</f>
        <v>296.82938999999999</v>
      </c>
      <c r="D5" s="737">
        <f>'Аксессуары (2)'!D5*1.3*($K$2/100+1)</f>
        <v>326.51232900000002</v>
      </c>
      <c r="E5" s="737">
        <f>'Аксессуары (2)'!E5*1.8*($K$2/100+1)</f>
        <v>493.19344799999999</v>
      </c>
      <c r="F5" s="737">
        <f>'Аксессуары (2)'!F5*1.8*($K$2/100+1)</f>
        <v>542.51279279999994</v>
      </c>
      <c r="G5" s="737">
        <f>'Аксессуары (2)'!G5*1.8*($K$2/100+1)</f>
        <v>591.83213760000001</v>
      </c>
      <c r="H5" s="738">
        <f>'Аксессуары (2)'!H5*1.8*($K$2/100+1)</f>
        <v>821.98907999999994</v>
      </c>
      <c r="I5" s="738">
        <f>'Аксессуары (2)'!J5*1.2*($K$2/100+1)</f>
        <v>821.98907999999994</v>
      </c>
      <c r="J5" s="739">
        <f>'Аксессуары (2)'!J5*1.8*($K$2/100+1)</f>
        <v>1232.98362</v>
      </c>
      <c r="K5" s="202"/>
      <c r="L5" s="202"/>
      <c r="N5" s="202"/>
      <c r="O5" s="202"/>
    </row>
    <row r="6" spans="1:15" ht="14.95" customHeight="1">
      <c r="A6" s="414" t="s">
        <v>2955</v>
      </c>
      <c r="B6" s="737">
        <f>'Аксессуары (2)'!B6*1.3*($K$2/100+1)</f>
        <v>271.71401400000002</v>
      </c>
      <c r="C6" s="737">
        <f>'Аксессуары (2)'!C6*1.3*($K$2/100+1)</f>
        <v>301.90445999999997</v>
      </c>
      <c r="D6" s="737">
        <f>'Аксессуары (2)'!D6*1.3*($K$2/100+1)</f>
        <v>332.09490599999998</v>
      </c>
      <c r="E6" s="737">
        <f>'Аксессуары (2)'!E6*1.8*($K$2/100+1)</f>
        <v>501.62587199999996</v>
      </c>
      <c r="F6" s="737">
        <f>'Аксессуары (2)'!F6*1.8*($K$2/100+1)</f>
        <v>551.78845920000003</v>
      </c>
      <c r="G6" s="737">
        <f>'Аксессуары (2)'!G6*1.8*($K$2/100+1)</f>
        <v>601.95104639999988</v>
      </c>
      <c r="H6" s="738">
        <f>'Аксессуары (2)'!H6*1.8*($K$2/100+1)</f>
        <v>836.04311999999993</v>
      </c>
      <c r="I6" s="738">
        <f>'Аксессуары (2)'!J6*1.2*($K$2/100+1)</f>
        <v>836.04311999999982</v>
      </c>
      <c r="J6" s="739">
        <f>'Аксессуары (2)'!J6*1.8*($K$2/100+1)</f>
        <v>1254.0646799999997</v>
      </c>
      <c r="K6" s="202"/>
      <c r="L6" s="202"/>
      <c r="N6" s="202"/>
      <c r="O6" s="202"/>
    </row>
    <row r="7" spans="1:15" ht="14.95" customHeight="1">
      <c r="A7" s="414" t="s">
        <v>2956</v>
      </c>
      <c r="B7" s="737">
        <f>'Аксессуары (2)'!B7*1.3*($K$2/100+1)</f>
        <v>264.86266950000004</v>
      </c>
      <c r="C7" s="737">
        <f>'Аксессуары (2)'!C7*1.3*($K$2/100+1)</f>
        <v>294.29185500000006</v>
      </c>
      <c r="D7" s="737">
        <f>'Аксессуары (2)'!D7*1.3*($K$2/100+1)</f>
        <v>323.72104050000007</v>
      </c>
      <c r="E7" s="737">
        <f>'Аксессуары (2)'!E7*1.8*($K$2/100+1)</f>
        <v>488.977236</v>
      </c>
      <c r="F7" s="737">
        <f>'Аксессуары (2)'!F7*1.8*($K$2/100+1)</f>
        <v>537.87495960000012</v>
      </c>
      <c r="G7" s="737">
        <f>'Аксессуары (2)'!G7*1.8*($K$2/100+1)</f>
        <v>586.77268320000007</v>
      </c>
      <c r="H7" s="738">
        <f>'Аксессуары (2)'!H7*1.8*($K$2/100+1)</f>
        <v>814.96206000000006</v>
      </c>
      <c r="I7" s="738">
        <f>'Аксессуары (2)'!J7*1.2*($K$2/100+1)</f>
        <v>814.96205999999995</v>
      </c>
      <c r="J7" s="739">
        <f>'Аксессуары (2)'!J7*1.8*($K$2/100+1)</f>
        <v>1222.4430900000002</v>
      </c>
    </row>
    <row r="8" spans="1:15" ht="14.95" customHeight="1">
      <c r="A8" s="414" t="s">
        <v>2957</v>
      </c>
      <c r="B8" s="737">
        <f>'Аксессуары (2)'!B8*1.3*($K$2/100+1)</f>
        <v>293.84912700000001</v>
      </c>
      <c r="C8" s="737">
        <f>'Аксессуары (2)'!C8*1.3*($K$2/100+1)</f>
        <v>326.49902999999995</v>
      </c>
      <c r="D8" s="737">
        <f>'Аксессуары (2)'!D8*1.3*($K$2/100+1)</f>
        <v>359.14893300000006</v>
      </c>
      <c r="E8" s="737">
        <f>'Аксессуары (2)'!E8*1.8*($K$2/100+1)</f>
        <v>542.49069599999996</v>
      </c>
      <c r="F8" s="737">
        <f>'Аксессуары (2)'!F8*1.8*($K$2/100+1)</f>
        <v>596.73976560000006</v>
      </c>
      <c r="G8" s="737">
        <f>'Аксессуары (2)'!G8*1.8*($K$2/100+1)</f>
        <v>650.98883520000004</v>
      </c>
      <c r="H8" s="738">
        <f>'Аксессуары (2)'!H8*1.8*($K$2/100+1)</f>
        <v>904.15116</v>
      </c>
      <c r="I8" s="738">
        <f>'Аксессуары (2)'!J8*1.2*($K$2/100+1)</f>
        <v>904.15115999999978</v>
      </c>
      <c r="J8" s="739">
        <f>'Аксессуары (2)'!J8*1.8*($K$2/100+1)</f>
        <v>1356.2267399999998</v>
      </c>
    </row>
    <row r="9" spans="1:15" ht="14.95" customHeight="1">
      <c r="A9" s="414" t="s">
        <v>2958</v>
      </c>
      <c r="B9" s="737">
        <f>'Аксессуары (2)'!B9*1.3*($K$2/100+1)</f>
        <v>301.57884899999999</v>
      </c>
      <c r="C9" s="737">
        <f>'Аксессуары (2)'!C9*1.3*($K$2/100+1)</f>
        <v>335.08760999999993</v>
      </c>
      <c r="D9" s="737">
        <f>'Аксессуары (2)'!D9*1.3*($K$2/100+1)</f>
        <v>368.59637099999998</v>
      </c>
      <c r="E9" s="737">
        <f>'Аксессуары (2)'!E9*1.6*($K$2/100+1)</f>
        <v>494.89862399999998</v>
      </c>
      <c r="F9" s="737">
        <f>'Аксессуары (2)'!F9*1.6*($K$2/100+1)</f>
        <v>544.38848639999992</v>
      </c>
      <c r="G9" s="737">
        <f>'Аксессуары (2)'!G9*1.6*($K$2/100+1)</f>
        <v>593.8783487999998</v>
      </c>
      <c r="H9" s="738">
        <f>'Аксессуары (2)'!H9*1.8*($K$2/100+1)</f>
        <v>927.93491999999981</v>
      </c>
      <c r="I9" s="738">
        <f>'Аксессуары (2)'!J9*1.2*($K$2/100+1)</f>
        <v>927.93491999999981</v>
      </c>
      <c r="J9" s="739">
        <f>'Аксессуары (2)'!J9*1.8*($K$2/100+1)</f>
        <v>1391.90238</v>
      </c>
    </row>
    <row r="10" spans="1:15" ht="14.95" customHeight="1">
      <c r="A10" s="414" t="s">
        <v>2959</v>
      </c>
      <c r="B10" s="737">
        <f>'Аксессуары (2)'!B10*1.3*($K$2/100+1)</f>
        <v>303.15992849999998</v>
      </c>
      <c r="C10" s="737">
        <f>'Аксессуары (2)'!C10*1.3*($K$2/100+1)</f>
        <v>336.84436499999993</v>
      </c>
      <c r="D10" s="737">
        <f>'Аксессуары (2)'!D10*1.3*($K$2/100+1)</f>
        <v>370.52880149999999</v>
      </c>
      <c r="E10" s="737">
        <f>'Аксессуары (2)'!E10*1.6*($K$2/100+1)</f>
        <v>497.49321599999996</v>
      </c>
      <c r="F10" s="737">
        <f>'Аксессуары (2)'!F10*1.6*($K$2/100+1)</f>
        <v>547.24253759999988</v>
      </c>
      <c r="G10" s="737">
        <f>'Аксессуары (2)'!G10*1.6*($K$2/100+1)</f>
        <v>596.99185919999991</v>
      </c>
      <c r="H10" s="738">
        <f>'Аксессуары (2)'!H10*1.8*($K$2/100+1)</f>
        <v>932.79977999999983</v>
      </c>
      <c r="I10" s="738">
        <f>'Аксессуары (2)'!J10*1.2*($K$2/100+1)</f>
        <v>932.79977999999983</v>
      </c>
      <c r="J10" s="739">
        <f>'Аксессуары (2)'!J10*1.8*($K$2/100+1)</f>
        <v>1399.1996699999997</v>
      </c>
    </row>
    <row r="11" spans="1:15" ht="14.95" customHeight="1">
      <c r="A11" s="414" t="s">
        <v>2960</v>
      </c>
      <c r="B11" s="737">
        <f>'Аксессуары (2)'!B11*1.3*($K$2/100+1)</f>
        <v>311.5923525</v>
      </c>
      <c r="C11" s="737">
        <f>'Аксессуары (2)'!C11*1.3*($K$2/100+1)</f>
        <v>346.21372500000001</v>
      </c>
      <c r="D11" s="737">
        <f>'Аксессуары (2)'!D11*1.3*($K$2/100+1)</f>
        <v>380.83509750000002</v>
      </c>
      <c r="E11" s="737">
        <f>'Аксессуары (2)'!E11*1.6*($K$2/100+1)</f>
        <v>511.33103999999997</v>
      </c>
      <c r="F11" s="737">
        <f>'Аксессуары (2)'!F11*1.6*($K$2/100+1)</f>
        <v>562.46414399999992</v>
      </c>
      <c r="G11" s="737">
        <f>'Аксессуары (2)'!G11*1.6*($K$2/100+1)</f>
        <v>613.59724800000004</v>
      </c>
      <c r="H11" s="738">
        <f>'Аксессуары (2)'!H11*1.8*($K$2/100+1)</f>
        <v>958.74569999999994</v>
      </c>
      <c r="I11" s="738">
        <f>'Аксессуары (2)'!J11*1.2*($K$2/100+1)</f>
        <v>958.74569999999994</v>
      </c>
      <c r="J11" s="739">
        <f>'Аксессуары (2)'!J11*1.8*($K$2/100+1)</f>
        <v>1438.1185500000001</v>
      </c>
    </row>
    <row r="12" spans="1:15" ht="14.95" customHeight="1">
      <c r="A12" s="414" t="s">
        <v>2961</v>
      </c>
      <c r="B12" s="737">
        <f>'Аксессуары (2)'!B12*1.3*($K$2/100+1)</f>
        <v>324.59233950000004</v>
      </c>
      <c r="C12" s="737">
        <f>'Аксессуары (2)'!C12*1.3*($K$2/100+1)</f>
        <v>360.65815499999997</v>
      </c>
      <c r="D12" s="737">
        <f>'Аксессуары (2)'!D12*1.3*($K$2/100+1)</f>
        <v>396.72397050000001</v>
      </c>
      <c r="E12" s="737">
        <f>'Аксессуары (2)'!E12*1.6*($K$2/100+1)</f>
        <v>532.66435200000012</v>
      </c>
      <c r="F12" s="737">
        <f>'Аксессуары (2)'!F12*1.6*($K$2/100+1)</f>
        <v>585.93078720000005</v>
      </c>
      <c r="G12" s="737">
        <f>'Аксессуары (2)'!G12*1.6*($K$2/100+1)</f>
        <v>639.19722239999999</v>
      </c>
      <c r="H12" s="738">
        <f>'Аксессуары (2)'!H12*1.8*($K$2/100+1)</f>
        <v>998.74566000000004</v>
      </c>
      <c r="I12" s="738">
        <f>'Аксессуары (2)'!J12*1.2*($K$2/100+1)</f>
        <v>998.74565999999993</v>
      </c>
      <c r="J12" s="739">
        <f>'Аксессуары (2)'!J12*1.8*($K$2/100+1)</f>
        <v>1498.1184900000001</v>
      </c>
    </row>
    <row r="13" spans="1:15" ht="14.95" customHeight="1">
      <c r="A13" s="414" t="s">
        <v>2962</v>
      </c>
      <c r="B13" s="737">
        <f>'Аксессуары (2)'!B13*1.3*($K$2/100+1)</f>
        <v>327.75449849999995</v>
      </c>
      <c r="C13" s="737">
        <f>'Аксессуары (2)'!C13*1.3*($K$2/100+1)</f>
        <v>364.17166499999996</v>
      </c>
      <c r="D13" s="737">
        <f>'Аксессуары (2)'!D13*1.3*($K$2/100+1)</f>
        <v>400.58883150000003</v>
      </c>
      <c r="E13" s="737">
        <f>'Аксессуары (2)'!E13*1.6*($K$2/100+1)</f>
        <v>537.85353599999996</v>
      </c>
      <c r="F13" s="737">
        <f>'Аксессуары (2)'!F13*1.6*($K$2/100+1)</f>
        <v>591.63888960000008</v>
      </c>
      <c r="G13" s="737">
        <f>'Аксессуары (2)'!G13*1.6*($K$2/100+1)</f>
        <v>645.42424319999998</v>
      </c>
      <c r="H13" s="738">
        <f>'Аксессуары (2)'!H13*1.8*($K$2/100+1)</f>
        <v>1008.4753799999999</v>
      </c>
      <c r="I13" s="738">
        <f>'Аксессуары (2)'!J13*1.2*($K$2/100+1)</f>
        <v>1008.4753799999999</v>
      </c>
      <c r="J13" s="739">
        <f>'Аксессуары (2)'!J13*1.8*($K$2/100+1)</f>
        <v>1512.7130699999998</v>
      </c>
    </row>
    <row r="14" spans="1:15" ht="14.95" customHeight="1">
      <c r="A14" s="414" t="s">
        <v>2963</v>
      </c>
      <c r="B14" s="737">
        <f>'Аксессуары (2)'!B14*1.3*($K$2/100+1)</f>
        <v>340.57880999999998</v>
      </c>
      <c r="C14" s="737">
        <f>'Аксессуары (2)'!C14*1.3*($K$2/100+1)</f>
        <v>378.42089999999996</v>
      </c>
      <c r="D14" s="737">
        <f>'Аксессуары (2)'!D14*1.3*($K$2/100+1)</f>
        <v>416.26299</v>
      </c>
      <c r="E14" s="737">
        <f>'Аксессуары (2)'!E14*1.6*($K$2/100+1)</f>
        <v>558.89855999999997</v>
      </c>
      <c r="F14" s="737">
        <f>'Аксессуары (2)'!F14*1.6*($K$2/100+1)</f>
        <v>614.7884160000001</v>
      </c>
      <c r="G14" s="737">
        <f>'Аксессуары (2)'!G14*1.6*($K$2/100+1)</f>
        <v>670.67827199999988</v>
      </c>
      <c r="H14" s="738">
        <f>'Аксессуары (2)'!H14*1.8*($K$2/100+1)</f>
        <v>1047.9348</v>
      </c>
      <c r="I14" s="738">
        <f>'Аксессуары (2)'!J14*1.2*($K$2/100+1)</f>
        <v>1047.9348</v>
      </c>
      <c r="J14" s="739">
        <f>'Аксессуары (2)'!J14*1.8*($K$2/100+1)</f>
        <v>1571.9022</v>
      </c>
    </row>
    <row r="15" spans="1:15" ht="14.95" customHeight="1">
      <c r="A15" s="414" t="s">
        <v>2964</v>
      </c>
      <c r="B15" s="737">
        <f>'Аксессуары (2)'!B15*1.3*($K$2/100+1)</f>
        <v>365.17338000000001</v>
      </c>
      <c r="C15" s="737">
        <f>'Аксессуары (2)'!C15*1.3*($K$2/100+1)</f>
        <v>405.7482</v>
      </c>
      <c r="D15" s="737">
        <f>'Аксессуары (2)'!D15*1.3*($K$2/100+1)</f>
        <v>446.32301999999999</v>
      </c>
      <c r="E15" s="737">
        <f>'Аксессуары (2)'!E15*1.6*($K$2/100+1)</f>
        <v>599.25887999999998</v>
      </c>
      <c r="F15" s="737">
        <f>'Аксессуары (2)'!F15*1.6*($K$2/100+1)</f>
        <v>659.18476800000008</v>
      </c>
      <c r="G15" s="737">
        <f>'Аксессуары (2)'!G15*1.6*($K$2/100+1)</f>
        <v>719.11065600000006</v>
      </c>
      <c r="H15" s="738">
        <f>'Аксессуары (2)'!H15*1.8*($K$2/100+1)</f>
        <v>1123.6104</v>
      </c>
      <c r="I15" s="738">
        <f>'Аксессуары (2)'!J15*1.2*($K$2/100+1)</f>
        <v>1123.6104</v>
      </c>
      <c r="J15" s="739">
        <f>'Аксессуары (2)'!J15*1.8*($K$2/100+1)</f>
        <v>1685.4156</v>
      </c>
    </row>
    <row r="16" spans="1:15" ht="14.95" customHeight="1">
      <c r="A16" s="414" t="s">
        <v>2965</v>
      </c>
      <c r="B16" s="737">
        <f>'Аксессуары (2)'!B16*1.3*($K$2/100+1)</f>
        <v>405.22739399999995</v>
      </c>
      <c r="C16" s="737">
        <f>'Аксессуары (2)'!C16*1.3*($K$2/100+1)</f>
        <v>450.25265999999999</v>
      </c>
      <c r="D16" s="737">
        <f>'Аксессуары (2)'!D16*1.3*($K$2/100+1)</f>
        <v>495.27792599999992</v>
      </c>
      <c r="E16" s="737">
        <f>'Аксессуары (2)'!E16*1.6*($K$2/100+1)</f>
        <v>664.98854399999993</v>
      </c>
      <c r="F16" s="737">
        <f>'Аксессуары (2)'!F16*1.6*($K$2/100+1)</f>
        <v>731.48739839999996</v>
      </c>
      <c r="G16" s="737">
        <f>'Аксессуары (2)'!G16*1.6*($K$2/100+1)</f>
        <v>797.98625279999976</v>
      </c>
      <c r="H16" s="738">
        <f>'Аксессуары (2)'!H16*1.8*($K$2/100+1)</f>
        <v>1246.8535199999999</v>
      </c>
      <c r="I16" s="738">
        <f>'Аксессуары (2)'!J16*1.2*($K$2/100+1)</f>
        <v>1246.8535199999999</v>
      </c>
      <c r="J16" s="739">
        <f>'Аксессуары (2)'!J16*1.8*($K$2/100+1)</f>
        <v>1870.2802799999997</v>
      </c>
    </row>
    <row r="17" spans="1:10" ht="14.95" customHeight="1">
      <c r="A17" s="414" t="s">
        <v>2966</v>
      </c>
      <c r="B17" s="737">
        <f>'Аксессуары (2)'!B17*1.3*($K$2/100+1)</f>
        <v>368.68689000000006</v>
      </c>
      <c r="C17" s="737">
        <f>'Аксессуары (2)'!C17*1.3*($K$2/100+1)</f>
        <v>409.65210000000002</v>
      </c>
      <c r="D17" s="737">
        <f>'Аксессуары (2)'!D17*1.3*($K$2/100+1)</f>
        <v>450.61731000000009</v>
      </c>
      <c r="E17" s="737">
        <f>'Аксессуары (2)'!E17*1.6*($K$2/100+1)</f>
        <v>605.02464000000009</v>
      </c>
      <c r="F17" s="737">
        <f>'Аксессуары (2)'!F17*1.6*($K$2/100+1)</f>
        <v>665.52710400000001</v>
      </c>
      <c r="G17" s="737">
        <f>'Аксессуары (2)'!G17*1.6*($K$2/100+1)</f>
        <v>726.02956800000004</v>
      </c>
      <c r="H17" s="738">
        <f>'Аксессуары (2)'!H17*1.8*($K$2/100+1)</f>
        <v>1134.4212000000002</v>
      </c>
      <c r="I17" s="738">
        <f>'Аксессуары (2)'!J17*1.2*($K$2/100+1)</f>
        <v>1134.4212</v>
      </c>
      <c r="J17" s="739">
        <f>'Аксессуары (2)'!J17*1.8*($K$2/100+1)</f>
        <v>1701.6318000000001</v>
      </c>
    </row>
    <row r="18" spans="1:10" ht="14.95" customHeight="1">
      <c r="A18" s="414" t="s">
        <v>2967</v>
      </c>
      <c r="B18" s="737">
        <f>'Аксессуары (2)'!B18*1.3*($K$2/100+1)</f>
        <v>377.82201599999996</v>
      </c>
      <c r="C18" s="737">
        <f>'Аксессуары (2)'!C18*1.3*($K$2/100+1)</f>
        <v>419.80223999999998</v>
      </c>
      <c r="D18" s="737">
        <f>'Аксессуары (2)'!D18*1.3*($K$2/100+1)</f>
        <v>461.78246399999995</v>
      </c>
      <c r="E18" s="737">
        <f>'Аксессуары (2)'!E18*1.6*($K$2/100+1)</f>
        <v>620.01561599999991</v>
      </c>
      <c r="F18" s="737">
        <f>'Аксессуары (2)'!F18*1.6*($K$2/100+1)</f>
        <v>682.01717759999997</v>
      </c>
      <c r="G18" s="737">
        <f>'Аксессуары (2)'!G18*1.6*($K$2/100+1)</f>
        <v>744.01873919999991</v>
      </c>
      <c r="H18" s="738">
        <f>'Аксессуары (2)'!H18*1.8*($K$2/100+1)</f>
        <v>1162.5292799999997</v>
      </c>
      <c r="I18" s="738">
        <f>'Аксессуары (2)'!J18*1.2*($K$2/100+1)</f>
        <v>1162.5292799999997</v>
      </c>
      <c r="J18" s="739">
        <f>'Аксессуары (2)'!J18*1.8*($K$2/100+1)</f>
        <v>1743.7939200000001</v>
      </c>
    </row>
    <row r="19" spans="1:10" ht="14.95" customHeight="1">
      <c r="A19" s="414" t="s">
        <v>2968</v>
      </c>
      <c r="B19" s="737">
        <f>'Аксессуары (2)'!B19*1.3*($K$2/100+1)</f>
        <v>383.44363199999998</v>
      </c>
      <c r="C19" s="737">
        <f>'Аксессуары (2)'!C19*1.3*($K$2/100+1)</f>
        <v>426.04847999999998</v>
      </c>
      <c r="D19" s="737">
        <f>'Аксессуары (2)'!D19*1.3*($K$2/100+1)</f>
        <v>468.65332800000004</v>
      </c>
      <c r="E19" s="737">
        <f>'Аксессуары (2)'!E19*1.6*($K$2/100+1)</f>
        <v>629.24083199999995</v>
      </c>
      <c r="F19" s="737">
        <f>'Аксессуары (2)'!F19*1.6*($K$2/100+1)</f>
        <v>692.16491519999988</v>
      </c>
      <c r="G19" s="737">
        <f>'Аксессуары (2)'!G19*1.6*($K$2/100+1)</f>
        <v>755.08899839999992</v>
      </c>
      <c r="H19" s="738">
        <f>'Аксессуары (2)'!H19*1.8*($K$2/100+1)</f>
        <v>1179.8265599999997</v>
      </c>
      <c r="I19" s="738">
        <f>'Аксессуары (2)'!J19*1.2*($K$2/100+1)</f>
        <v>1179.8265599999997</v>
      </c>
      <c r="J19" s="739">
        <f>'Аксессуары (2)'!J19*1.8*($K$2/100+1)</f>
        <v>1769.73984</v>
      </c>
    </row>
    <row r="20" spans="1:10" ht="14.95" customHeight="1">
      <c r="A20" s="414" t="s">
        <v>2969</v>
      </c>
      <c r="B20" s="737">
        <f>'Аксессуары (2)'!B20*1.3*($K$2/100+1)</f>
        <v>395.91659249999998</v>
      </c>
      <c r="C20" s="737">
        <f>'Аксессуары (2)'!C20*1.3*($K$2/100+1)</f>
        <v>439.90732499999996</v>
      </c>
      <c r="D20" s="737">
        <f>'Аксессуары (2)'!D20*1.3*($K$2/100+1)</f>
        <v>483.89805750000005</v>
      </c>
      <c r="E20" s="737">
        <f>'Аксессуары (2)'!E20*1.6*($K$2/100+1)</f>
        <v>649.70928000000004</v>
      </c>
      <c r="F20" s="737">
        <f>'Аксессуары (2)'!F20*1.6*($K$2/100+1)</f>
        <v>714.68020800000011</v>
      </c>
      <c r="G20" s="737">
        <f>'Аксессуары (2)'!G20*1.6*($K$2/100+1)</f>
        <v>779.65113599999995</v>
      </c>
      <c r="H20" s="738">
        <f>'Аксессуары (2)'!H20*1.8*($K$2/100+1)</f>
        <v>1218.2049</v>
      </c>
      <c r="I20" s="738">
        <f>'Аксессуары (2)'!J20*1.2*($K$2/100+1)</f>
        <v>1218.2048999999997</v>
      </c>
      <c r="J20" s="739">
        <f>'Аксессуары (2)'!J20*1.8*($K$2/100+1)</f>
        <v>1827.30735</v>
      </c>
    </row>
    <row r="21" spans="1:10" ht="14.95" customHeight="1">
      <c r="A21" s="414" t="s">
        <v>2970</v>
      </c>
      <c r="B21" s="737">
        <f>'Аксессуары (2)'!B21*1.3*($K$2/100+1)</f>
        <v>414.71387099999998</v>
      </c>
      <c r="C21" s="737">
        <f>'Аксессуары (2)'!C21*1.3*($K$2/100+1)</f>
        <v>460.79318999999998</v>
      </c>
      <c r="D21" s="737">
        <f>'Аксессуары (2)'!D21*1.3*($K$2/100+1)</f>
        <v>506.87250900000004</v>
      </c>
      <c r="E21" s="737">
        <f>'Аксессуары (2)'!E21*1.6*($K$2/100+1)</f>
        <v>680.55609600000003</v>
      </c>
      <c r="F21" s="737">
        <f>'Аксессуары (2)'!F21*1.6*($K$2/100+1)</f>
        <v>748.61170559999994</v>
      </c>
      <c r="G21" s="737">
        <f>'Аксессуары (2)'!G21*1.6*($K$2/100+1)</f>
        <v>816.66731520000008</v>
      </c>
      <c r="H21" s="738">
        <f>'Аксессуары (2)'!H21*1.8*($K$2/100+1)</f>
        <v>1276.04268</v>
      </c>
      <c r="I21" s="738">
        <f>'Аксессуары (2)'!J21*1.2*($K$2/100+1)</f>
        <v>1276.04268</v>
      </c>
      <c r="J21" s="739">
        <f>'Аксессуары (2)'!J21*1.8*($K$2/100+1)</f>
        <v>1914.06402</v>
      </c>
    </row>
    <row r="22" spans="1:10" ht="14.95" customHeight="1">
      <c r="A22" s="414" t="s">
        <v>2971</v>
      </c>
      <c r="B22" s="737">
        <f>'Аксессуары (2)'!B22*1.3*($K$2/100+1)</f>
        <v>460.03815000000003</v>
      </c>
      <c r="C22" s="737">
        <f>'Аксессуары (2)'!C22*1.3*($K$2/100+1)</f>
        <v>511.15350000000001</v>
      </c>
      <c r="D22" s="737">
        <f>'Аксессуары (2)'!D22*1.3*($K$2/100+1)</f>
        <v>562.26885000000004</v>
      </c>
      <c r="E22" s="737">
        <f>'Аксессуары (2)'!E22*1.6*($K$2/100+1)</f>
        <v>754.93439999999998</v>
      </c>
      <c r="F22" s="737">
        <f>'Аксессуары (2)'!F22*1.6*($K$2/100+1)</f>
        <v>830.42784000000006</v>
      </c>
      <c r="G22" s="737">
        <f>'Аксессуары (2)'!G22*1.6*($K$2/100+1)</f>
        <v>905.92127999999991</v>
      </c>
      <c r="H22" s="738">
        <f>'Аксессуары (2)'!H22*1.8*($K$2/100+1)</f>
        <v>1415.5020000000002</v>
      </c>
      <c r="I22" s="738">
        <f>'Аксессуары (2)'!J22*1.2*($K$2/100+1)</f>
        <v>1415.5020000000002</v>
      </c>
      <c r="J22" s="739">
        <f>'Аксессуары (2)'!J22*1.8*($K$2/100+1)</f>
        <v>2123.2530000000002</v>
      </c>
    </row>
    <row r="23" spans="1:10" ht="14.95" customHeight="1">
      <c r="A23" s="414" t="s">
        <v>2972</v>
      </c>
      <c r="B23" s="737">
        <f>'Аксессуары (2)'!B23*1.3*($K$2/100+1)</f>
        <v>505.53810449999997</v>
      </c>
      <c r="C23" s="737">
        <f>'Аксессуары (2)'!C23*1.3*($K$2/100+1)</f>
        <v>561.70900499999993</v>
      </c>
      <c r="D23" s="737">
        <f>'Аксессуары (2)'!D23*1.3*($K$2/100+1)</f>
        <v>617.87990550000006</v>
      </c>
      <c r="E23" s="737">
        <f>'Аксессуары (2)'!E23*1.6*($K$2/100+1)</f>
        <v>829.60099199999991</v>
      </c>
      <c r="F23" s="737">
        <f>'Аксессуары (2)'!F23*1.6*($K$2/100+1)</f>
        <v>912.56109119999996</v>
      </c>
      <c r="G23" s="737">
        <f>'Аксессуары (2)'!G23*1.6*($K$2/100+1)</f>
        <v>995.5211903999998</v>
      </c>
      <c r="H23" s="738">
        <f>'Аксессуары (2)'!H23*1.8*($K$2/100+1)</f>
        <v>1555.5018599999999</v>
      </c>
      <c r="I23" s="738">
        <f>'Аксессуары (2)'!J23*1.2*($K$2/100+1)</f>
        <v>1555.5018599999999</v>
      </c>
      <c r="J23" s="739">
        <f>'Аксессуары (2)'!J23*1.8*($K$2/100+1)</f>
        <v>2333.25279</v>
      </c>
    </row>
    <row r="24" spans="1:10" ht="14.95" customHeight="1">
      <c r="A24" s="414" t="s">
        <v>2973</v>
      </c>
      <c r="B24" s="737">
        <f>'Аксессуары (2)'!B24*1.3*($K$2/100+1)</f>
        <v>415.41657300000003</v>
      </c>
      <c r="C24" s="737">
        <f>'Аксессуары (2)'!C24*1.3*($K$2/100+1)</f>
        <v>461.57396999999997</v>
      </c>
      <c r="D24" s="737">
        <f>'Аксессуары (2)'!D24*1.3*($K$2/100+1)</f>
        <v>507.73136700000009</v>
      </c>
      <c r="E24" s="737">
        <f>'Аксессуары (2)'!E24*1.6*($K$2/100+1)</f>
        <v>681.70924800000012</v>
      </c>
      <c r="F24" s="737">
        <f>'Аксессуары (2)'!F24*1.6*($K$2/100+1)</f>
        <v>749.88017279999997</v>
      </c>
      <c r="G24" s="737">
        <f>'Аксессуары (2)'!G24*1.6*($K$2/100+1)</f>
        <v>818.05109759999993</v>
      </c>
      <c r="H24" s="738">
        <f>'Аксессуары (2)'!H24*1.8*($K$2/100+1)</f>
        <v>1278.2048400000001</v>
      </c>
      <c r="I24" s="738">
        <f>'Аксессуары (2)'!J24*1.2*($K$2/100+1)</f>
        <v>1278.2048399999999</v>
      </c>
      <c r="J24" s="739">
        <f>'Аксессуары (2)'!J24*1.8*($K$2/100+1)</f>
        <v>1917.30726</v>
      </c>
    </row>
    <row r="25" spans="1:10" ht="14.95" customHeight="1">
      <c r="A25" s="414" t="s">
        <v>2974</v>
      </c>
      <c r="B25" s="737">
        <f>'Аксессуары (2)'!B25*1.3*($K$2/100+1)</f>
        <v>450.3759975000001</v>
      </c>
      <c r="C25" s="737">
        <f>'Аксессуары (2)'!C25*1.3*($K$2/100+1)</f>
        <v>500.41777500000001</v>
      </c>
      <c r="D25" s="737">
        <f>'Аксессуары (2)'!D25*1.3*($K$2/100+1)</f>
        <v>550.45955249999997</v>
      </c>
      <c r="E25" s="737">
        <f>'Аксессуары (2)'!E25*1.6*($K$2/100+1)</f>
        <v>739.07856000000004</v>
      </c>
      <c r="F25" s="737">
        <f>'Аксессуары (2)'!F25*1.6*($K$2/100+1)</f>
        <v>812.98641600000008</v>
      </c>
      <c r="G25" s="737">
        <f>'Аксессуары (2)'!G25*1.6*($K$2/100+1)</f>
        <v>886.89427199999989</v>
      </c>
      <c r="H25" s="738">
        <f>'Аксессуары (2)'!H25*1.8*($K$2/100+1)</f>
        <v>1385.7723000000001</v>
      </c>
      <c r="I25" s="738">
        <f>'Аксессуары (2)'!J25*1.2*($K$2/100+1)</f>
        <v>1385.7722999999999</v>
      </c>
      <c r="J25" s="739">
        <f>'Аксессуары (2)'!J25*1.8*($K$2/100+1)</f>
        <v>2078.6584499999999</v>
      </c>
    </row>
    <row r="26" spans="1:10" ht="14.95" customHeight="1">
      <c r="A26" s="414" t="s">
        <v>2975</v>
      </c>
      <c r="B26" s="737">
        <f>'Аксессуары (2)'!B26*1.3*($K$2/100+1)</f>
        <v>467.41652100000005</v>
      </c>
      <c r="C26" s="737">
        <f>'Аксессуары (2)'!C26*1.3*($K$2/100+1)</f>
        <v>519.35168999999996</v>
      </c>
      <c r="D26" s="737">
        <f>'Аксессуары (2)'!D26*1.3*($K$2/100+1)</f>
        <v>571.28685899999994</v>
      </c>
      <c r="E26" s="737">
        <f>'Аксессуары (2)'!E26*1.6*($K$2/100+1)</f>
        <v>767.04249600000003</v>
      </c>
      <c r="F26" s="737">
        <f>'Аксессуары (2)'!F26*1.6*($K$2/100+1)</f>
        <v>843.74674559999994</v>
      </c>
      <c r="G26" s="737">
        <f>'Аксессуары (2)'!G26*1.6*($K$2/100+1)</f>
        <v>920.45099520000008</v>
      </c>
      <c r="H26" s="738">
        <f>'Аксессуары (2)'!H26*1.8*($K$2/100+1)</f>
        <v>1438.2046800000001</v>
      </c>
      <c r="I26" s="738">
        <f>'Аксессуары (2)'!J26*1.2*($K$2/100+1)</f>
        <v>1438.2046799999998</v>
      </c>
      <c r="J26" s="739">
        <f>'Аксессуары (2)'!J26*1.8*($K$2/100+1)</f>
        <v>2157.3070200000002</v>
      </c>
    </row>
    <row r="27" spans="1:10" ht="14.95" customHeight="1">
      <c r="A27" s="414" t="s">
        <v>2976</v>
      </c>
      <c r="B27" s="737">
        <f>'Аксессуары (2)'!B27*1.3*($K$2/100+1)</f>
        <v>487.44352799999996</v>
      </c>
      <c r="C27" s="737">
        <f>'Аксессуары (2)'!C27*1.3*($K$2/100+1)</f>
        <v>541.60392000000002</v>
      </c>
      <c r="D27" s="737">
        <f>'Аксессуары (2)'!D27*1.3*($K$2/100+1)</f>
        <v>595.76431200000002</v>
      </c>
      <c r="E27" s="737">
        <f>'Аксессуары (2)'!E27*1.6*($K$2/100+1)</f>
        <v>799.90732799999989</v>
      </c>
      <c r="F27" s="737">
        <f>'Аксессуары (2)'!F27*1.6*($K$2/100+1)</f>
        <v>879.89806080000005</v>
      </c>
      <c r="G27" s="737">
        <f>'Аксессуары (2)'!G27*1.6*($K$2/100+1)</f>
        <v>959.88879359999987</v>
      </c>
      <c r="H27" s="738">
        <f>'Аксессуары (2)'!H27*1.8*($K$2/100+1)</f>
        <v>1499.8262399999999</v>
      </c>
      <c r="I27" s="738">
        <f>'Аксессуары (2)'!J27*1.2*($K$2/100+1)</f>
        <v>1499.8262399999996</v>
      </c>
      <c r="J27" s="739">
        <f>'Аксессуары (2)'!J27*1.8*($K$2/100+1)</f>
        <v>2249.73936</v>
      </c>
    </row>
    <row r="28" spans="1:10" ht="14.95" customHeight="1">
      <c r="A28" s="414" t="s">
        <v>2977</v>
      </c>
      <c r="B28" s="737">
        <f>'Аксессуары (2)'!B28*1.3*($K$2/100+1)</f>
        <v>510.10566750000004</v>
      </c>
      <c r="C28" s="737">
        <f>'Аксессуары (2)'!C28*1.3*($K$2/100+1)</f>
        <v>566.78407500000003</v>
      </c>
      <c r="D28" s="737">
        <f>'Аксессуары (2)'!D28*1.3*($K$2/100+1)</f>
        <v>623.46248250000008</v>
      </c>
      <c r="E28" s="737">
        <f>'Аксессуары (2)'!E28*1.6*($K$2/100+1)</f>
        <v>837.09648000000004</v>
      </c>
      <c r="F28" s="737">
        <f>'Аксессуары (2)'!F28*1.6*($K$2/100+1)</f>
        <v>920.80612800000029</v>
      </c>
      <c r="G28" s="737">
        <f>'Аксессуары (2)'!G28*1.6*($K$2/100+1)</f>
        <v>1004.5157760000001</v>
      </c>
      <c r="H28" s="738">
        <f>'Аксессуары (2)'!H28*1.8*($K$2/100+1)</f>
        <v>1569.5559000000001</v>
      </c>
      <c r="I28" s="738">
        <f>'Аксессуары (2)'!J28*1.2*($K$2/100+1)</f>
        <v>1569.5558999999998</v>
      </c>
      <c r="J28" s="739">
        <f>'Аксессуары (2)'!J28*1.8*($K$2/100+1)</f>
        <v>2354.33385</v>
      </c>
    </row>
    <row r="29" spans="1:10" ht="14.95" customHeight="1">
      <c r="A29" s="414" t="s">
        <v>2978</v>
      </c>
      <c r="B29" s="737">
        <f>'Аксессуары (2)'!B29*1.3*($K$2/100+1)</f>
        <v>473.91651449999995</v>
      </c>
      <c r="C29" s="737">
        <f>'Аксессуары (2)'!C29*1.3*($K$2/100+1)</f>
        <v>526.57390500000008</v>
      </c>
      <c r="D29" s="737">
        <f>'Аксессуары (2)'!D29*1.3*($K$2/100+1)</f>
        <v>579.23129549999999</v>
      </c>
      <c r="E29" s="737">
        <f>'Аксессуары (2)'!E29*1.6*($K$2/100+1)</f>
        <v>777.70915200000002</v>
      </c>
      <c r="F29" s="737">
        <f>'Аксессуары (2)'!F29*1.6*($K$2/100+1)</f>
        <v>855.48006720000012</v>
      </c>
      <c r="G29" s="737">
        <f>'Аксессуары (2)'!G29*1.6*($K$2/100+1)</f>
        <v>933.25098239999988</v>
      </c>
      <c r="H29" s="738">
        <f>'Аксессуары (2)'!H29*1.8*($K$2/100+1)</f>
        <v>1458.2046599999999</v>
      </c>
      <c r="I29" s="738">
        <f>'Аксессуары (2)'!J29*1.2*($K$2/100+1)</f>
        <v>1458.2046599999999</v>
      </c>
      <c r="J29" s="739">
        <f>'Аксессуары (2)'!J29*1.8*($K$2/100+1)</f>
        <v>2187.3069899999996</v>
      </c>
    </row>
    <row r="30" spans="1:10" ht="14.95" customHeight="1">
      <c r="A30" s="414" t="s">
        <v>2979</v>
      </c>
      <c r="B30" s="737">
        <f>'Аксессуары (2)'!B30*1.3*($K$2/100+1)</f>
        <v>485.86244849999997</v>
      </c>
      <c r="C30" s="737">
        <f>'Аксессуары (2)'!C30*1.3*($K$2/100+1)</f>
        <v>539.8471649999999</v>
      </c>
      <c r="D30" s="737">
        <f>'Аксессуары (2)'!D30*1.3*($K$2/100+1)</f>
        <v>593.83188149999989</v>
      </c>
      <c r="E30" s="737">
        <f>'Аксессуары (2)'!E30*1.6*($K$2/100+1)</f>
        <v>797.31273599999997</v>
      </c>
      <c r="F30" s="737">
        <f>'Аксессуары (2)'!F30*1.6*($K$2/100+1)</f>
        <v>877.04400959999998</v>
      </c>
      <c r="G30" s="737">
        <f>'Аксессуары (2)'!G30*1.6*($K$2/100+1)</f>
        <v>956.77528319999988</v>
      </c>
      <c r="H30" s="738">
        <f>'Аксессуары (2)'!H30*1.8*($K$2/100+1)</f>
        <v>1494.96138</v>
      </c>
      <c r="I30" s="738">
        <f>'Аксессуары (2)'!J30*1.2*($K$2/100+1)</f>
        <v>1494.9613799999997</v>
      </c>
      <c r="J30" s="739">
        <f>'Аксессуары (2)'!J30*1.8*($K$2/100+1)</f>
        <v>2242.4420699999996</v>
      </c>
    </row>
    <row r="31" spans="1:10" ht="14.95" customHeight="1">
      <c r="A31" s="414" t="s">
        <v>2980</v>
      </c>
      <c r="B31" s="737">
        <f>'Аксессуары (2)'!B31*1.3*($K$2/100+1)</f>
        <v>490.95703799999995</v>
      </c>
      <c r="C31" s="737">
        <f>'Аксессуары (2)'!C31*1.3*($K$2/100+1)</f>
        <v>545.50781999999992</v>
      </c>
      <c r="D31" s="737">
        <f>'Аксессуары (2)'!D31*1.3*($K$2/100+1)</f>
        <v>600.05860199999995</v>
      </c>
      <c r="E31" s="737">
        <f>'Аксессуары (2)'!E31*1.6*($K$2/100+1)</f>
        <v>805.67308800000001</v>
      </c>
      <c r="F31" s="737">
        <f>'Аксессуары (2)'!F31*1.6*($K$2/100+1)</f>
        <v>886.24039679999998</v>
      </c>
      <c r="G31" s="737">
        <f>'Аксессуары (2)'!G31*1.6*($K$2/100+1)</f>
        <v>966.80770559999996</v>
      </c>
      <c r="H31" s="738">
        <f>'Аксессуары (2)'!H31*1.8*($K$2/100+1)</f>
        <v>1510.6370399999996</v>
      </c>
      <c r="I31" s="738">
        <f>'Аксессуары (2)'!J31*1.2*($K$2/100+1)</f>
        <v>1510.6370399999996</v>
      </c>
      <c r="J31" s="739">
        <f>'Аксессуары (2)'!J31*1.8*($K$2/100+1)</f>
        <v>2265.9555599999994</v>
      </c>
    </row>
    <row r="32" spans="1:10" ht="14.95" customHeight="1">
      <c r="A32" s="414" t="s">
        <v>2981</v>
      </c>
      <c r="B32" s="737">
        <f>'Аксессуары (2)'!B32*1.3*($K$2/100+1)</f>
        <v>509.92999200000003</v>
      </c>
      <c r="C32" s="737">
        <f>'Аксессуары (2)'!C32*1.3*($K$2/100+1)</f>
        <v>566.58888000000002</v>
      </c>
      <c r="D32" s="737">
        <f>'Аксессуары (2)'!D32*1.3*($K$2/100+1)</f>
        <v>623.24776800000006</v>
      </c>
      <c r="E32" s="737">
        <f>'Аксессуары (2)'!E32*1.6*($K$2/100+1)</f>
        <v>836.80819200000008</v>
      </c>
      <c r="F32" s="737">
        <f>'Аксессуары (2)'!F32*1.6*($K$2/100+1)</f>
        <v>920.48901119999994</v>
      </c>
      <c r="G32" s="737">
        <f>'Аксессуары (2)'!G32*1.6*($K$2/100+1)</f>
        <v>1004.1698304</v>
      </c>
      <c r="H32" s="738">
        <f>'Аксессуары (2)'!H32*1.8*($K$2/100+1)</f>
        <v>1569.0153599999999</v>
      </c>
      <c r="I32" s="738">
        <f>'Аксессуары (2)'!J32*1.2*($K$2/100+1)</f>
        <v>1569.0153599999999</v>
      </c>
      <c r="J32" s="739">
        <f>'Аксессуары (2)'!J32*1.8*($K$2/100+1)</f>
        <v>2353.52304</v>
      </c>
    </row>
    <row r="33" spans="1:10" ht="15.8" customHeight="1">
      <c r="A33" s="414" t="s">
        <v>2982</v>
      </c>
      <c r="B33" s="737">
        <f>'Аксессуары (2)'!B33*1.3*($K$2/100+1)</f>
        <v>533.99753549999991</v>
      </c>
      <c r="C33" s="737">
        <f>'Аксессуары (2)'!C33*1.3*($K$2/100+1)</f>
        <v>593.3305949999999</v>
      </c>
      <c r="D33" s="737">
        <f>'Аксессуары (2)'!D33*1.3*($K$2/100+1)</f>
        <v>652.66365450000001</v>
      </c>
      <c r="E33" s="737">
        <f>'Аксессуары (2)'!E33*1.6*($K$2/100+1)</f>
        <v>876.30364799999995</v>
      </c>
      <c r="F33" s="737">
        <f>'Аксессуары (2)'!F33*1.6*($K$2/100+1)</f>
        <v>963.9340128</v>
      </c>
      <c r="G33" s="737">
        <f>'Аксессуары (2)'!G33*1.6*($K$2/100+1)</f>
        <v>1051.5643776000002</v>
      </c>
      <c r="H33" s="738">
        <f>'Аксессуары (2)'!H33*1.8*($K$2/100+1)</f>
        <v>1643.0693399999998</v>
      </c>
      <c r="I33" s="738">
        <f>'Аксессуары (2)'!J33*1.2*($K$2/100+1)</f>
        <v>1643.0693399999998</v>
      </c>
      <c r="J33" s="739">
        <f>'Аксессуары (2)'!J33*1.8*($K$2/100+1)</f>
        <v>2464.60401</v>
      </c>
    </row>
    <row r="34" spans="1:10" ht="16.3">
      <c r="A34" s="414" t="s">
        <v>2983</v>
      </c>
      <c r="B34" s="737">
        <f>'Аксессуары (2)'!B34*1.3*($K$2/100+1)</f>
        <v>595.13260950000006</v>
      </c>
      <c r="C34" s="737">
        <f>'Аксессуары (2)'!C34*1.3*($K$2/100+1)</f>
        <v>661.25845499999991</v>
      </c>
      <c r="D34" s="737">
        <f>'Аксессуары (2)'!D34*1.3*($K$2/100+1)</f>
        <v>727.38430049999999</v>
      </c>
      <c r="E34" s="737">
        <f>'Аксессуары (2)'!E34*1.6*($K$2/100+1)</f>
        <v>976.62787199999991</v>
      </c>
      <c r="F34" s="737">
        <f>'Аксессуары (2)'!F34*1.6*($K$2/100+1)</f>
        <v>1074.2906591999999</v>
      </c>
      <c r="G34" s="737">
        <f>'Аксессуары (2)'!G34*1.6*($K$2/100+1)</f>
        <v>1171.9534464000001</v>
      </c>
      <c r="H34" s="738">
        <f>'Аксессуары (2)'!H34*1.8*($K$2/100+1)</f>
        <v>1831.1772599999999</v>
      </c>
      <c r="I34" s="738">
        <f>'Аксессуары (2)'!J34*1.2*($K$2/100+1)</f>
        <v>1831.1772599999999</v>
      </c>
      <c r="J34" s="739">
        <f>'Аксессуары (2)'!J34*1.8*($K$2/100+1)</f>
        <v>2746.7658899999997</v>
      </c>
    </row>
    <row r="35" spans="1:10" ht="16.3">
      <c r="A35" s="414" t="s">
        <v>2984</v>
      </c>
      <c r="B35" s="737">
        <f>'Аксессуары (2)'!B35*1.3*($K$2/100+1)</f>
        <v>618.14610000000005</v>
      </c>
      <c r="C35" s="737">
        <f>'Аксессуары (2)'!C35*1.3*($K$2/100+1)</f>
        <v>686.82899999999995</v>
      </c>
      <c r="D35" s="737">
        <f>'Аксессуары (2)'!D35*1.3*($K$2/100+1)</f>
        <v>755.51189999999997</v>
      </c>
      <c r="E35" s="737">
        <f>'Аксессуары (2)'!E35*1.6*($K$2/100+1)</f>
        <v>1014.3935999999999</v>
      </c>
      <c r="F35" s="737">
        <f>'Аксессуары (2)'!F35*1.6*($K$2/100+1)</f>
        <v>1115.83296</v>
      </c>
      <c r="G35" s="737">
        <f>'Аксессуары (2)'!G35*1.6*($K$2/100+1)</f>
        <v>1217.2723199999998</v>
      </c>
      <c r="H35" s="738">
        <f>'Аксессуары (2)'!H35*1.8*($K$2/100+1)</f>
        <v>1901.9879999999998</v>
      </c>
      <c r="I35" s="738">
        <f>'Аксессуары (2)'!J35*1.2*($K$2/100+1)</f>
        <v>1901.9879999999996</v>
      </c>
      <c r="J35" s="739">
        <f>'Аксессуары (2)'!J35*1.8*($K$2/100+1)</f>
        <v>2852.9819999999995</v>
      </c>
    </row>
    <row r="36" spans="1:10" ht="16.3">
      <c r="A36" s="414" t="s">
        <v>2985</v>
      </c>
      <c r="B36" s="737">
        <f>'Аксессуары (2)'!B36*1.3*($K$2/100+1)</f>
        <v>610.76772899999992</v>
      </c>
      <c r="C36" s="737">
        <f>'Аксессуары (2)'!C36*1.3*($K$2/100+1)</f>
        <v>678.63080999999977</v>
      </c>
      <c r="D36" s="737">
        <f>'Аксессуары (2)'!D36*1.3*($K$2/100+1)</f>
        <v>746.49389099999985</v>
      </c>
      <c r="E36" s="737">
        <f>'Аксессуары (2)'!E36*1.6*($K$2/100+1)</f>
        <v>1002.2855039999998</v>
      </c>
      <c r="F36" s="737">
        <f>'Аксессуары (2)'!F36*1.6*($K$2/100+1)</f>
        <v>1102.5140543999998</v>
      </c>
      <c r="G36" s="737">
        <f>'Аксессуары (2)'!G36*1.6*($K$2/100+1)</f>
        <v>1202.7426047999998</v>
      </c>
      <c r="H36" s="738">
        <f>'Аксессуары (2)'!H36*1.8*($K$2/100+1)</f>
        <v>1879.2853199999997</v>
      </c>
      <c r="I36" s="738">
        <f>'Аксессуары (2)'!J36*1.2*($K$2/100+1)</f>
        <v>1879.2853199999993</v>
      </c>
      <c r="J36" s="739">
        <f>'Аксессуары (2)'!J36*1.8*($K$2/100+1)</f>
        <v>2818.9279799999995</v>
      </c>
    </row>
    <row r="37" spans="1:10" ht="16.3">
      <c r="A37" s="414" t="s">
        <v>2986</v>
      </c>
      <c r="B37" s="737">
        <f>'Аксессуары (2)'!B37*1.3*($K$2/100+1)</f>
        <v>625.87582200000008</v>
      </c>
      <c r="C37" s="737">
        <f>'Аксессуары (2)'!C37*1.3*($K$2/100+1)</f>
        <v>695.41758000000004</v>
      </c>
      <c r="D37" s="737">
        <f>'Аксессуары (2)'!D37*1.3*($K$2/100+1)</f>
        <v>764.959338</v>
      </c>
      <c r="E37" s="737">
        <f>'Аксессуары (2)'!E37*1.6*($K$2/100+1)</f>
        <v>1027.0782720000002</v>
      </c>
      <c r="F37" s="737">
        <f>'Аксессуары (2)'!F37*1.6*($K$2/100+1)</f>
        <v>1129.7860992000001</v>
      </c>
      <c r="G37" s="737">
        <f>'Аксессуары (2)'!G37*1.6*($K$2/100+1)</f>
        <v>1232.4939264</v>
      </c>
      <c r="H37" s="738">
        <f>'Аксессуары (2)'!H37*1.8*($K$2/100+1)</f>
        <v>1925.7717600000001</v>
      </c>
      <c r="I37" s="738">
        <f>'Аксессуары (2)'!J37*1.2*($K$2/100+1)</f>
        <v>1925.7717600000001</v>
      </c>
      <c r="J37" s="739">
        <f>'Аксессуары (2)'!J37*1.8*($K$2/100+1)</f>
        <v>2888.6576399999999</v>
      </c>
    </row>
    <row r="38" spans="1:10" ht="16.3">
      <c r="A38" s="414" t="s">
        <v>2987</v>
      </c>
      <c r="B38" s="737">
        <f>'Аксессуары (2)'!B38*1.3*($K$2/100+1)</f>
        <v>627.98392799999999</v>
      </c>
      <c r="C38" s="737">
        <f>'Аксессуары (2)'!C38*1.3*($K$2/100+1)</f>
        <v>697.75991999999985</v>
      </c>
      <c r="D38" s="737">
        <f>'Аксессуары (2)'!D38*1.3*($K$2/100+1)</f>
        <v>767.53591199999994</v>
      </c>
      <c r="E38" s="737">
        <f>'Аксессуары (2)'!E38*1.6*($K$2/100+1)</f>
        <v>1030.5377279999998</v>
      </c>
      <c r="F38" s="737">
        <f>'Аксессуары (2)'!F38*1.6*($K$2/100+1)</f>
        <v>1133.5915007999997</v>
      </c>
      <c r="G38" s="737">
        <f>'Аксессуары (2)'!G38*1.6*($K$2/100+1)</f>
        <v>1236.6452735999997</v>
      </c>
      <c r="H38" s="738">
        <f>'Аксессуары (2)'!H38*1.8*($K$2/100+1)</f>
        <v>1932.2582399999997</v>
      </c>
      <c r="I38" s="738">
        <f>'Аксессуары (2)'!J38*1.2*($K$2/100+1)</f>
        <v>1932.2582399999994</v>
      </c>
      <c r="J38" s="739">
        <f>'Аксессуары (2)'!J38*1.8*($K$2/100+1)</f>
        <v>2898.3873599999993</v>
      </c>
    </row>
    <row r="39" spans="1:10" ht="16.3">
      <c r="A39" s="414" t="s">
        <v>2988</v>
      </c>
      <c r="B39" s="737">
        <f>'Аксессуары (2)'!B39*1.3*($K$2/100+1)</f>
        <v>655.91633249999995</v>
      </c>
      <c r="C39" s="737">
        <f>'Аксессуары (2)'!C39*1.3*($K$2/100+1)</f>
        <v>728.79592500000001</v>
      </c>
      <c r="D39" s="737">
        <f>'Аксессуары (2)'!D39*1.3*($K$2/100+1)</f>
        <v>801.67551750000007</v>
      </c>
      <c r="E39" s="737">
        <f>'Аксессуары (2)'!E39*1.6*($K$2/100+1)</f>
        <v>1076.3755199999998</v>
      </c>
      <c r="F39" s="737">
        <f>'Аксессуары (2)'!F39*1.6*($K$2/100+1)</f>
        <v>1184.013072</v>
      </c>
      <c r="G39" s="737">
        <f>'Аксессуары (2)'!G39*1.6*($K$2/100+1)</f>
        <v>1291.6506239999999</v>
      </c>
      <c r="H39" s="738">
        <f>'Аксессуары (2)'!H39*1.8*($K$2/100+1)</f>
        <v>2018.2040999999999</v>
      </c>
      <c r="I39" s="738">
        <f>'Аксессуары (2)'!J39*1.2*($K$2/100+1)</f>
        <v>2018.2040999999999</v>
      </c>
      <c r="J39" s="739">
        <f>'Аксессуары (2)'!J39*1.8*($K$2/100+1)</f>
        <v>3027.3061499999999</v>
      </c>
    </row>
    <row r="40" spans="1:10" ht="16.3">
      <c r="A40" s="414" t="s">
        <v>2989</v>
      </c>
      <c r="B40" s="737">
        <f>'Аксессуары (2)'!B40*1.3*($K$2/100+1)</f>
        <v>679.28117399999996</v>
      </c>
      <c r="C40" s="737">
        <f>'Аксессуары (2)'!C40*1.3*($K$2/100+1)</f>
        <v>754.75685999999996</v>
      </c>
      <c r="D40" s="737">
        <f>'Аксессуары (2)'!D40*1.3*($K$2/100+1)</f>
        <v>830.23254599999996</v>
      </c>
      <c r="E40" s="737">
        <f>'Аксессуары (2)'!E40*1.6*($K$2/100+1)</f>
        <v>1114.7178240000001</v>
      </c>
      <c r="F40" s="737">
        <f>'Аксессуары (2)'!F40*1.6*($K$2/100+1)</f>
        <v>1226.1896064</v>
      </c>
      <c r="G40" s="737">
        <f>'Аксессуары (2)'!G40*1.6*($K$2/100+1)</f>
        <v>1337.6613887999999</v>
      </c>
      <c r="H40" s="738">
        <f>'Аксессуары (2)'!H40*1.8*($K$2/100+1)</f>
        <v>2090.0959199999998</v>
      </c>
      <c r="I40" s="738">
        <f>'Аксессуары (2)'!J40*1.2*($K$2/100+1)</f>
        <v>2090.0959199999998</v>
      </c>
      <c r="J40" s="739">
        <f>'Аксессуары (2)'!J40*1.8*($K$2/100+1)</f>
        <v>3135.1438800000001</v>
      </c>
    </row>
    <row r="41" spans="1:10" ht="16.3">
      <c r="A41" s="414" t="s">
        <v>2990</v>
      </c>
      <c r="B41" s="737">
        <f>'Аксессуары (2)'!B41*1.3*($K$2/100+1)</f>
        <v>761.49730799999986</v>
      </c>
      <c r="C41" s="737">
        <f>'Аксессуары (2)'!C41*1.3*($K$2/100+1)</f>
        <v>846.10811999999987</v>
      </c>
      <c r="D41" s="737">
        <f>'Аксессуары (2)'!D41*1.3*($K$2/100+1)</f>
        <v>930.718932</v>
      </c>
      <c r="E41" s="737">
        <f>'Аксессуары (2)'!E41*1.6*($K$2/100+1)</f>
        <v>1249.6366079999998</v>
      </c>
      <c r="F41" s="737">
        <f>'Аксессуары (2)'!F41*1.6*($K$2/100+1)</f>
        <v>1374.6002688000001</v>
      </c>
      <c r="G41" s="737">
        <f>'Аксессуары (2)'!G41*1.6*($K$2/100+1)</f>
        <v>1499.5639295999997</v>
      </c>
      <c r="H41" s="738">
        <f>'Аксессуары (2)'!H41*1.8*($K$2/100+1)</f>
        <v>2343.0686399999995</v>
      </c>
      <c r="I41" s="738">
        <f>'Аксессуары (2)'!J41*1.2*($K$2/100+1)</f>
        <v>2343.0686399999995</v>
      </c>
      <c r="J41" s="739">
        <f>'Аксессуары (2)'!J41*1.8*($K$2/100+1)</f>
        <v>3514.6029599999993</v>
      </c>
    </row>
    <row r="42" spans="1:10" ht="16.3">
      <c r="A42" s="414" t="s">
        <v>2991</v>
      </c>
      <c r="B42" s="737">
        <f>'Аксессуары (2)'!B42*1.3*($K$2/100+1)</f>
        <v>793.82159999999988</v>
      </c>
      <c r="C42" s="737">
        <f>'Аксессуары (2)'!C42*1.3*($K$2/100+1)</f>
        <v>882.024</v>
      </c>
      <c r="D42" s="737">
        <f>'Аксессуары (2)'!D42*1.3*($K$2/100+1)</f>
        <v>970.22640000000013</v>
      </c>
      <c r="E42" s="737">
        <f>'Аксессуары (2)'!E42*1.6*($K$2/100+1)</f>
        <v>1302.6815999999997</v>
      </c>
      <c r="F42" s="737">
        <f>'Аксессуары (2)'!F42*1.6*($K$2/100+1)</f>
        <v>1432.94976</v>
      </c>
      <c r="G42" s="737">
        <f>'Аксессуары (2)'!G42*1.6*($K$2/100+1)</f>
        <v>1563.2179199999998</v>
      </c>
      <c r="H42" s="738">
        <f>'Аксессуары (2)'!H42*1.8*($K$2/100+1)</f>
        <v>2442.5279999999998</v>
      </c>
      <c r="I42" s="738">
        <f>'Аксессуары (2)'!J42*1.2*($K$2/100+1)</f>
        <v>2442.5279999999998</v>
      </c>
      <c r="J42" s="739">
        <f>'Аксессуары (2)'!J42*1.8*($K$2/100+1)</f>
        <v>3663.7919999999999</v>
      </c>
    </row>
    <row r="43" spans="1:10" ht="16.3">
      <c r="A43" s="414" t="s">
        <v>2992</v>
      </c>
      <c r="B43" s="737">
        <f>'Аксессуары (2)'!B43*1.3*($K$2/100+1)</f>
        <v>769.57838100000004</v>
      </c>
      <c r="C43" s="737">
        <f>'Аксессуары (2)'!C43*1.3*($K$2/100+1)</f>
        <v>855.08708999999999</v>
      </c>
      <c r="D43" s="737">
        <f>'Аксессуары (2)'!D43*1.3*($K$2/100+1)</f>
        <v>940.59579900000006</v>
      </c>
      <c r="E43" s="737">
        <f>'Аксессуары (2)'!E43*1.6*($K$2/100+1)</f>
        <v>1262.897856</v>
      </c>
      <c r="F43" s="737">
        <f>'Аксессуары (2)'!F43*1.6*($K$2/100+1)</f>
        <v>1389.1876416</v>
      </c>
      <c r="G43" s="737">
        <f>'Аксессуары (2)'!G43*1.6*($K$2/100+1)</f>
        <v>1515.4774271999997</v>
      </c>
      <c r="H43" s="738">
        <f>'Аксессуары (2)'!H43*1.8*($K$2/100+1)</f>
        <v>2367.9334800000001</v>
      </c>
      <c r="I43" s="738">
        <f>'Аксессуары (2)'!J43*1.2*($K$2/100+1)</f>
        <v>2367.9334799999997</v>
      </c>
      <c r="J43" s="739">
        <f>'Аксессуары (2)'!J43*1.8*($K$2/100+1)</f>
        <v>3551.9002199999995</v>
      </c>
    </row>
    <row r="44" spans="1:10" ht="16.3">
      <c r="A44" s="414" t="s">
        <v>2993</v>
      </c>
      <c r="B44" s="737">
        <f>'Аксессуары (2)'!B44*1.3*($K$2/100+1)</f>
        <v>787.49728199999993</v>
      </c>
      <c r="C44" s="737">
        <f>'Аксессуары (2)'!C44*1.3*($K$2/100+1)</f>
        <v>874.99697999999989</v>
      </c>
      <c r="D44" s="737">
        <f>'Аксессуары (2)'!D44*1.3*($K$2/100+1)</f>
        <v>962.49667799999997</v>
      </c>
      <c r="E44" s="737">
        <f>'Аксессуары (2)'!E44*1.6*($K$2/100+1)</f>
        <v>1292.303232</v>
      </c>
      <c r="F44" s="737">
        <f>'Аксессуары (2)'!F44*1.6*($K$2/100+1)</f>
        <v>1421.5335552000001</v>
      </c>
      <c r="G44" s="737">
        <f>'Аксессуары (2)'!G44*1.6*($K$2/100+1)</f>
        <v>1550.7638783999998</v>
      </c>
      <c r="H44" s="738">
        <f>'Аксессуары (2)'!H44*1.8*($K$2/100+1)</f>
        <v>2423.0685599999997</v>
      </c>
      <c r="I44" s="738">
        <f>'Аксессуары (2)'!J44*1.2*($K$2/100+1)</f>
        <v>2423.0685599999997</v>
      </c>
      <c r="J44" s="739">
        <f>'Аксессуары (2)'!J44*1.8*($K$2/100+1)</f>
        <v>3634.60284</v>
      </c>
    </row>
    <row r="45" spans="1:10" ht="16.3">
      <c r="A45" s="414" t="s">
        <v>2994</v>
      </c>
      <c r="B45" s="737">
        <f>'Аксессуары (2)'!B45*1.3*($K$2/100+1)</f>
        <v>793.82159999999988</v>
      </c>
      <c r="C45" s="737">
        <f>'Аксессуары (2)'!C45*1.3*($K$2/100+1)</f>
        <v>882.024</v>
      </c>
      <c r="D45" s="737">
        <f>'Аксессуары (2)'!D45*1.3*($K$2/100+1)</f>
        <v>970.22640000000013</v>
      </c>
      <c r="E45" s="737">
        <f>'Аксессуары (2)'!E45*1.6*($K$2/100+1)</f>
        <v>1302.6815999999997</v>
      </c>
      <c r="F45" s="737">
        <f>'Аксессуары (2)'!F45*1.6*($K$2/100+1)</f>
        <v>1432.94976</v>
      </c>
      <c r="G45" s="737">
        <f>'Аксессуары (2)'!G45*1.6*($K$2/100+1)</f>
        <v>1563.2179199999998</v>
      </c>
      <c r="H45" s="738">
        <f>'Аксессуары (2)'!H45*1.8*($K$2/100+1)</f>
        <v>2442.5279999999998</v>
      </c>
      <c r="I45" s="738">
        <f>'Аксессуары (2)'!J45*1.2*($K$2/100+1)</f>
        <v>2442.5279999999998</v>
      </c>
      <c r="J45" s="739">
        <f>'Аксессуары (2)'!J45*1.8*($K$2/100+1)</f>
        <v>3663.7919999999999</v>
      </c>
    </row>
    <row r="46" spans="1:10" ht="16.3">
      <c r="A46" s="414" t="s">
        <v>2995</v>
      </c>
      <c r="B46" s="737">
        <f>'Аксессуары (2)'!B46*1.3*($K$2/100+1)</f>
        <v>823.15940850000004</v>
      </c>
      <c r="C46" s="737">
        <f>'Аксессуары (2)'!C46*1.3*($K$2/100+1)</f>
        <v>914.62156499999992</v>
      </c>
      <c r="D46" s="737">
        <f>'Аксессуары (2)'!D46*1.3*($K$2/100+1)</f>
        <v>1006.0837215000001</v>
      </c>
      <c r="E46" s="737">
        <f>'Аксессуары (2)'!E46*1.6*($K$2/100+1)</f>
        <v>1350.8256959999999</v>
      </c>
      <c r="F46" s="737">
        <f>'Аксессуары (2)'!F46*1.6*($K$2/100+1)</f>
        <v>1485.9082656</v>
      </c>
      <c r="G46" s="737">
        <f>'Аксессуары (2)'!G46*1.6*($K$2/100+1)</f>
        <v>1620.9908351999998</v>
      </c>
      <c r="H46" s="738">
        <f>'Аксессуары (2)'!H46*1.8*($K$2/100+1)</f>
        <v>2532.7981799999998</v>
      </c>
      <c r="I46" s="738">
        <f>'Аксессуары (2)'!J46*1.2*($K$2/100+1)</f>
        <v>2532.7981799999998</v>
      </c>
      <c r="J46" s="739">
        <f>'Аксессуары (2)'!J46*1.8*($K$2/100+1)</f>
        <v>3799.1972699999997</v>
      </c>
    </row>
    <row r="47" spans="1:10" ht="16.3">
      <c r="A47" s="414" t="s">
        <v>2996</v>
      </c>
      <c r="B47" s="737">
        <f>'Аксессуары (2)'!B47*1.3*($K$2/100+1)</f>
        <v>864.09179999999992</v>
      </c>
      <c r="C47" s="737">
        <f>'Аксессуары (2)'!C47*1.3*($K$2/100+1)</f>
        <v>960.10199999999998</v>
      </c>
      <c r="D47" s="737">
        <f>'Аксессуары (2)'!D47*1.3*($K$2/100+1)</f>
        <v>1056.1122</v>
      </c>
      <c r="E47" s="737">
        <f>'Аксессуары (2)'!E47*1.6*($K$2/100+1)</f>
        <v>1417.9967999999997</v>
      </c>
      <c r="F47" s="737">
        <f>'Аксессуары (2)'!F47*1.6*($K$2/100+1)</f>
        <v>1559.79648</v>
      </c>
      <c r="G47" s="737">
        <f>'Аксессуары (2)'!G47*1.6*($K$2/100+1)</f>
        <v>1701.5961599999996</v>
      </c>
      <c r="H47" s="738">
        <f>'Аксессуары (2)'!H47*1.8*($K$2/100+1)</f>
        <v>2658.7439999999997</v>
      </c>
      <c r="I47" s="738">
        <f>'Аксессуары (2)'!J47*1.2*($K$2/100+1)</f>
        <v>2658.7439999999997</v>
      </c>
      <c r="J47" s="739">
        <f>'Аксессуары (2)'!J47*1.8*($K$2/100+1)</f>
        <v>3988.1159999999995</v>
      </c>
    </row>
    <row r="48" spans="1:10" ht="16.3">
      <c r="A48" s="414" t="s">
        <v>2997</v>
      </c>
      <c r="B48" s="737">
        <f>'Аксессуары (2)'!B48*1.3*($K$2/100+1)</f>
        <v>899.22689999999989</v>
      </c>
      <c r="C48" s="737">
        <f>'Аксессуары (2)'!C48*1.3*($K$2/100+1)</f>
        <v>999.14099999999985</v>
      </c>
      <c r="D48" s="737">
        <f>'Аксессуары (2)'!D48*1.3*($K$2/100+1)</f>
        <v>1099.0551</v>
      </c>
      <c r="E48" s="737">
        <f>'Аксессуары (2)'!E48*1.6*($K$2/100+1)</f>
        <v>1475.6543999999997</v>
      </c>
      <c r="F48" s="737">
        <f>'Аксессуары (2)'!F48*1.6*($K$2/100+1)</f>
        <v>1623.21984</v>
      </c>
      <c r="G48" s="737">
        <f>'Аксессуары (2)'!G48*1.6*($K$2/100+1)</f>
        <v>1770.7852799999994</v>
      </c>
      <c r="H48" s="738">
        <f>'Аксессуары (2)'!H48*1.8*($K$2/100+1)</f>
        <v>2766.8519999999999</v>
      </c>
      <c r="I48" s="738">
        <f>'Аксессуары (2)'!J48*1.2*($K$2/100+1)</f>
        <v>2766.8519999999999</v>
      </c>
      <c r="J48" s="739">
        <f>'Аксессуары (2)'!J48*1.8*($K$2/100+1)</f>
        <v>4150.2779999999993</v>
      </c>
    </row>
    <row r="49" spans="1:10" ht="14.95" customHeight="1" thickBot="1">
      <c r="A49" s="415" t="s">
        <v>2998</v>
      </c>
      <c r="B49" s="737">
        <f>'Аксессуары (2)'!B49*1.3*($K$2/100+1)</f>
        <v>934.36200000000008</v>
      </c>
      <c r="C49" s="737">
        <f>'Аксессуары (2)'!C49*1.3*($K$2/100+1)</f>
        <v>1038.18</v>
      </c>
      <c r="D49" s="737">
        <f>'Аксессуары (2)'!D49*1.3*($K$2/100+1)</f>
        <v>1141.998</v>
      </c>
      <c r="E49" s="737">
        <f>'Аксессуары (2)'!E49*1.6*($K$2/100+1)</f>
        <v>1533.3119999999999</v>
      </c>
      <c r="F49" s="737">
        <f>'Аксессуары (2)'!F49*1.6*($K$2/100+1)</f>
        <v>1686.6432000000002</v>
      </c>
      <c r="G49" s="737">
        <f>'Аксессуары (2)'!G49*1.6*($K$2/100+1)</f>
        <v>1839.9743999999998</v>
      </c>
      <c r="H49" s="738">
        <f>'Аксессуары (2)'!H49*1.8*($K$2/100+1)</f>
        <v>2874.96</v>
      </c>
      <c r="I49" s="738">
        <f>'Аксессуары (2)'!J49*1.2*($K$2/100+1)</f>
        <v>2874.9599999999996</v>
      </c>
      <c r="J49" s="739">
        <f>'Аксессуары (2)'!J49*1.8*($K$2/100+1)</f>
        <v>4312.4399999999996</v>
      </c>
    </row>
    <row r="50" spans="1:10" s="254" customFormat="1" ht="14.95" customHeight="1" thickBot="1">
      <c r="A50" s="615" t="s">
        <v>2999</v>
      </c>
      <c r="B50" s="842"/>
      <c r="C50" s="843"/>
      <c r="D50" s="843"/>
      <c r="E50" s="843"/>
      <c r="F50" s="843"/>
      <c r="G50" s="843"/>
      <c r="H50" s="843"/>
      <c r="I50" s="843"/>
      <c r="J50" s="844"/>
    </row>
    <row r="51" spans="1:10" ht="16.3">
      <c r="A51" s="423" t="s">
        <v>3000</v>
      </c>
      <c r="B51" s="737">
        <f>'Аксессуары (2)'!B51*1.3*($K$2/100+1)</f>
        <v>78.635056500000005</v>
      </c>
      <c r="C51" s="737">
        <f>'Аксессуары (2)'!C51*1.3*($K$2/100+1)</f>
        <v>87.372284999999991</v>
      </c>
      <c r="D51" s="737">
        <f>'Аксессуары (2)'!D51*1.3*($K$2/100+1)</f>
        <v>96.109513499999991</v>
      </c>
      <c r="E51" s="737">
        <f>'Аксессуары (2)'!E51*1.6*($K$2/100+1)</f>
        <v>129.04214399999998</v>
      </c>
      <c r="F51" s="737">
        <f>'Аксессуары (2)'!F51*1.6*($K$2/100+1)</f>
        <v>141.94635840000001</v>
      </c>
      <c r="G51" s="737">
        <f>'Аксессуары (2)'!G51*1.6*($K$2/100+1)</f>
        <v>154.85057279999998</v>
      </c>
      <c r="H51" s="738">
        <f>'Аксессуары (2)'!H51*1.8*($K$2/100+1)</f>
        <v>241.95401999999999</v>
      </c>
      <c r="I51" s="738">
        <f>'Аксессуары (2)'!J51*1.45*($K$2/100+1)</f>
        <v>292.36110749999995</v>
      </c>
      <c r="J51" s="739">
        <f>'Аксессуары (2)'!J51*1.8*($K$2/100+1)</f>
        <v>362.93102999999996</v>
      </c>
    </row>
    <row r="52" spans="1:10" ht="16.3">
      <c r="A52" s="414" t="s">
        <v>3001</v>
      </c>
      <c r="B52" s="737">
        <f>'Аксессуары (2)'!B52*1.3*($K$2/100+1)</f>
        <v>81.094513499999991</v>
      </c>
      <c r="C52" s="737">
        <f>'Аксессуары (2)'!C52*1.3*($K$2/100+1)</f>
        <v>90.105014999999995</v>
      </c>
      <c r="D52" s="737">
        <f>'Аксессуары (2)'!D52*1.3*($K$2/100+1)</f>
        <v>99.115516499999998</v>
      </c>
      <c r="E52" s="737">
        <f>'Аксессуары (2)'!E52*1.6*($K$2/100+1)</f>
        <v>133.07817599999998</v>
      </c>
      <c r="F52" s="737">
        <f>'Аксессуары (2)'!F52*1.6*($K$2/100+1)</f>
        <v>146.38599360000001</v>
      </c>
      <c r="G52" s="737">
        <f>'Аксессуары (2)'!G52*1.6*($K$2/100+1)</f>
        <v>159.69381119999997</v>
      </c>
      <c r="H52" s="738">
        <f>'Аксессуары (2)'!H52*1.8*($K$2/100+1)</f>
        <v>249.52158</v>
      </c>
      <c r="I52" s="738">
        <f>'Аксессуары (2)'!J52*1.45*($K$2/100+1)</f>
        <v>301.50524249999989</v>
      </c>
      <c r="J52" s="739">
        <f>'Аксессуары (2)'!J52*1.8*($K$2/100+1)</f>
        <v>374.28236999999996</v>
      </c>
    </row>
    <row r="53" spans="1:10" ht="16.3">
      <c r="A53" s="414" t="s">
        <v>3002</v>
      </c>
      <c r="B53" s="737">
        <f>'Аксессуары (2)'!B53*1.3*($K$2/100+1)</f>
        <v>93.743149500000001</v>
      </c>
      <c r="C53" s="737">
        <f>'Аксессуары (2)'!C53*1.3*($K$2/100+1)</f>
        <v>104.159055</v>
      </c>
      <c r="D53" s="737">
        <f>'Аксессуары (2)'!D53*1.3*($K$2/100+1)</f>
        <v>114.57496050000002</v>
      </c>
      <c r="E53" s="737">
        <f>'Аксессуары (2)'!E53*1.6*($K$2/100+1)</f>
        <v>153.83491199999997</v>
      </c>
      <c r="F53" s="737">
        <f>'Аксессуары (2)'!F53*1.6*($K$2/100+1)</f>
        <v>169.21840320000001</v>
      </c>
      <c r="G53" s="737">
        <f>'Аксессуары (2)'!G53*1.6*($K$2/100+1)</f>
        <v>184.60189439999996</v>
      </c>
      <c r="H53" s="738">
        <f>'Аксессуары (2)'!H53*1.8*($K$2/100+1)</f>
        <v>288.44045999999997</v>
      </c>
      <c r="I53" s="738">
        <f>'Аксессуары (2)'!J53*1.45*($K$2/100+1)</f>
        <v>348.53222249999993</v>
      </c>
      <c r="J53" s="739">
        <f>'Аксессуары (2)'!J53*1.8*($K$2/100+1)</f>
        <v>432.66068999999993</v>
      </c>
    </row>
    <row r="54" spans="1:10" ht="16.3">
      <c r="A54" s="414" t="s">
        <v>3003</v>
      </c>
      <c r="B54" s="737">
        <f>'Аксессуары (2)'!B54*1.3*($K$2/100+1)</f>
        <v>115.17556049999999</v>
      </c>
      <c r="C54" s="737">
        <f>'Аксессуары (2)'!C54*1.3*($K$2/100+1)</f>
        <v>127.97284500000001</v>
      </c>
      <c r="D54" s="737">
        <f>'Аксессуары (2)'!D54*1.3*($K$2/100+1)</f>
        <v>140.77012950000002</v>
      </c>
      <c r="E54" s="737">
        <f>'Аксессуары (2)'!E54*1.6*($K$2/100+1)</f>
        <v>189.00604799999999</v>
      </c>
      <c r="F54" s="737">
        <f>'Аксессуары (2)'!F54*1.6*($K$2/100+1)</f>
        <v>207.90665280000005</v>
      </c>
      <c r="G54" s="737">
        <f>'Аксессуары (2)'!G54*1.6*($K$2/100+1)</f>
        <v>226.80725759999999</v>
      </c>
      <c r="H54" s="738">
        <f>'Аксессуары (2)'!H54*1.8*($K$2/100+1)</f>
        <v>354.38634000000002</v>
      </c>
      <c r="I54" s="738">
        <f>'Аксессуары (2)'!J54*1.45*($K$2/100+1)</f>
        <v>428.21682749999997</v>
      </c>
      <c r="J54" s="739">
        <f>'Аксессуары (2)'!J54*1.8*($K$2/100+1)</f>
        <v>531.57950999999991</v>
      </c>
    </row>
    <row r="55" spans="1:10" ht="16.3">
      <c r="A55" s="414" t="s">
        <v>3004</v>
      </c>
      <c r="B55" s="737">
        <f>'Аксессуары (2)'!B55*1.3*($K$2/100+1)</f>
        <v>142.9322895</v>
      </c>
      <c r="C55" s="737">
        <f>'Аксессуары (2)'!C55*1.3*($K$2/100+1)</f>
        <v>158.81365499999995</v>
      </c>
      <c r="D55" s="737">
        <f>'Аксессуары (2)'!D55*1.3*($K$2/100+1)</f>
        <v>174.6950205</v>
      </c>
      <c r="E55" s="737">
        <f>'Аксессуары (2)'!E55*1.6*($K$2/100+1)</f>
        <v>234.55555199999998</v>
      </c>
      <c r="F55" s="737">
        <f>'Аксессуары (2)'!F55*1.6*($K$2/100+1)</f>
        <v>258.01110719999997</v>
      </c>
      <c r="G55" s="737">
        <f>'Аксессуары (2)'!G55*1.6*($K$2/100+1)</f>
        <v>281.46666239999996</v>
      </c>
      <c r="H55" s="738">
        <f>'Аксессуары (2)'!H55*1.8*($K$2/100+1)</f>
        <v>439.79165999999992</v>
      </c>
      <c r="I55" s="738">
        <f>'Аксессуары (2)'!J55*1.45*($K$2/100+1)</f>
        <v>531.41492249999988</v>
      </c>
      <c r="J55" s="739">
        <f>'Аксессуары (2)'!J55*1.8*($K$2/100+1)</f>
        <v>659.68748999999991</v>
      </c>
    </row>
    <row r="56" spans="1:10" ht="16.3">
      <c r="A56" s="414" t="s">
        <v>3005</v>
      </c>
      <c r="B56" s="737">
        <f>'Аксессуары (2)'!B56*1.3*($K$2/100+1)</f>
        <v>177.01333649999998</v>
      </c>
      <c r="C56" s="737">
        <f>'Аксессуары (2)'!C56*1.3*($K$2/100+1)</f>
        <v>196.68148499999995</v>
      </c>
      <c r="D56" s="737">
        <f>'Аксессуары (2)'!D56*1.3*($K$2/100+1)</f>
        <v>216.34963350000001</v>
      </c>
      <c r="E56" s="737">
        <f>'Аксессуары (2)'!E56*1.6*($K$2/100+1)</f>
        <v>290.48342399999996</v>
      </c>
      <c r="F56" s="737">
        <f>'Аксессуары (2)'!F56*1.6*($K$2/100+1)</f>
        <v>319.53176639999992</v>
      </c>
      <c r="G56" s="737">
        <f>'Аксессуары (2)'!G56*1.6*($K$2/100+1)</f>
        <v>348.5801088</v>
      </c>
      <c r="H56" s="738">
        <f>'Аксессуары (2)'!H56*1.8*($K$2/100+1)</f>
        <v>544.65641999999991</v>
      </c>
      <c r="I56" s="738">
        <f>'Аксессуары (2)'!J56*1.45*($K$2/100+1)</f>
        <v>658.12650749999978</v>
      </c>
      <c r="J56" s="739">
        <f>'Аксессуары (2)'!J56*1.8*($K$2/100+1)</f>
        <v>816.98462999999981</v>
      </c>
    </row>
    <row r="57" spans="1:10" ht="16.3">
      <c r="A57" s="414" t="s">
        <v>3006</v>
      </c>
      <c r="B57" s="737">
        <f>'Аксессуары (2)'!B57*1.3*($K$2/100+1)</f>
        <v>217.59437700000001</v>
      </c>
      <c r="C57" s="737">
        <f>'Аксессуары (2)'!C57*1.3*($K$2/100+1)</f>
        <v>241.77152999999998</v>
      </c>
      <c r="D57" s="737">
        <f>'Аксессуары (2)'!D57*1.3*($K$2/100+1)</f>
        <v>265.94868300000002</v>
      </c>
      <c r="E57" s="737">
        <f>'Аксессуары (2)'!E57*1.6*($K$2/100+1)</f>
        <v>357.07795200000004</v>
      </c>
      <c r="F57" s="737">
        <f>'Аксессуары (2)'!F57*1.6*($K$2/100+1)</f>
        <v>392.78574720000006</v>
      </c>
      <c r="G57" s="737">
        <f>'Аксессуары (2)'!G57*1.6*($K$2/100+1)</f>
        <v>428.49354240000002</v>
      </c>
      <c r="H57" s="738">
        <f>'Аксессуары (2)'!H57*1.8*($K$2/100+1)</f>
        <v>669.52116000000001</v>
      </c>
      <c r="I57" s="738">
        <f>'Аксессуары (2)'!J57*1.45*($K$2/100+1)</f>
        <v>809.00473499999987</v>
      </c>
      <c r="J57" s="739">
        <f>'Аксессуары (2)'!J57*1.8*($K$2/100+1)</f>
        <v>1004.28174</v>
      </c>
    </row>
    <row r="58" spans="1:10" ht="16.3">
      <c r="A58" s="414" t="s">
        <v>3007</v>
      </c>
      <c r="B58" s="737">
        <f>'Аксессуары (2)'!B58*1.3*($K$2/100+1)</f>
        <v>256.06731149999996</v>
      </c>
      <c r="C58" s="737">
        <f>'Аксессуары (2)'!C58*1.3*($K$2/100+1)</f>
        <v>284.51923499999992</v>
      </c>
      <c r="D58" s="737">
        <f>'Аксессуары (2)'!D58*1.3*($K$2/100+1)</f>
        <v>312.97115849999994</v>
      </c>
      <c r="E58" s="737">
        <f>'Аксессуары (2)'!E58*1.6*($K$2/100+1)</f>
        <v>420.21302399999985</v>
      </c>
      <c r="F58" s="737">
        <f>'Аксессуары (2)'!F58*1.6*($K$2/100+1)</f>
        <v>462.23432639999993</v>
      </c>
      <c r="G58" s="737">
        <f>'Аксессуары (2)'!G58*1.6*($K$2/100+1)</f>
        <v>504.25562879999984</v>
      </c>
      <c r="H58" s="738">
        <f>'Аксессуары (2)'!H58*1.8*($K$2/100+1)</f>
        <v>787.89941999999985</v>
      </c>
      <c r="I58" s="738">
        <f>'Аксессуары (2)'!J58*1.45*($K$2/100+1)</f>
        <v>952.04513249999968</v>
      </c>
      <c r="J58" s="739">
        <f>'Аксессуары (2)'!J58*1.8*($K$2/100+1)</f>
        <v>1181.8491299999998</v>
      </c>
    </row>
    <row r="59" spans="1:10" ht="17" thickBot="1">
      <c r="A59" s="415" t="s">
        <v>3008</v>
      </c>
      <c r="B59" s="737">
        <f>'Аксессуары (2)'!B59*1.3*($K$2/100+1)</f>
        <v>439.2968580000001</v>
      </c>
      <c r="C59" s="737">
        <f>'Аксессуары (2)'!C59*1.3*($K$2/100+1)</f>
        <v>488.10762</v>
      </c>
      <c r="D59" s="737">
        <f>'Аксессуары (2)'!D59*1.3*($K$2/100+1)</f>
        <v>536.91838200000007</v>
      </c>
      <c r="E59" s="737">
        <f>'Аксессуары (2)'!E59*1.6*($K$2/100+1)</f>
        <v>720.89740800000004</v>
      </c>
      <c r="F59" s="737">
        <f>'Аксессуары (2)'!F59*1.6*($K$2/100+1)</f>
        <v>792.9871488</v>
      </c>
      <c r="G59" s="737">
        <f>'Аксессуары (2)'!G59*1.6*($K$2/100+1)</f>
        <v>865.07688960000007</v>
      </c>
      <c r="H59" s="738">
        <f>'Аксессуары (2)'!H59*1.8*($K$2/100+1)</f>
        <v>1351.68264</v>
      </c>
      <c r="I59" s="738">
        <f>'Аксессуары (2)'!J59*1.45*($K$2/100+1)</f>
        <v>1633.2831899999999</v>
      </c>
      <c r="J59" s="739">
        <f>'Аксессуары (2)'!J59*1.8*($K$2/100+1)</f>
        <v>2027.52396</v>
      </c>
    </row>
    <row r="60" spans="1:10" s="254" customFormat="1" ht="14.95" customHeight="1" thickBot="1">
      <c r="A60" s="615" t="s">
        <v>3123</v>
      </c>
      <c r="B60" s="842"/>
      <c r="C60" s="843"/>
      <c r="D60" s="843"/>
      <c r="E60" s="843"/>
      <c r="F60" s="843"/>
      <c r="G60" s="843"/>
      <c r="H60" s="843"/>
      <c r="I60" s="843"/>
      <c r="J60" s="844"/>
    </row>
    <row r="61" spans="1:10" ht="14.95" customHeight="1">
      <c r="A61" s="423" t="s">
        <v>3124</v>
      </c>
      <c r="B61" s="737">
        <f>'Аксессуары (2)'!B61*1.3*($K$2/100+1)</f>
        <v>258.011325</v>
      </c>
      <c r="C61" s="737">
        <f>'Аксессуары (2)'!C61*1.3*($K$2/100+1)</f>
        <v>286.67924999999997</v>
      </c>
      <c r="D61" s="737">
        <f>'Аксессуары (2)'!D61*1.3*($K$2/100+1)</f>
        <v>315.34717499999999</v>
      </c>
      <c r="E61" s="737">
        <f>'Аксессуары (2)'!E61*1.6*($K$2/100+1)</f>
        <v>423.40319999999997</v>
      </c>
      <c r="F61" s="737">
        <f>'Аксессуары (2)'!F61*1.6*($K$2/100+1)</f>
        <v>465.74351999999999</v>
      </c>
      <c r="G61" s="737">
        <f>'Аксессуары (2)'!G61*1.6*($K$2/100+1)</f>
        <v>508.08383999999995</v>
      </c>
      <c r="H61" s="738">
        <f>'Аксессуары (2)'!H61*1.8*($K$2/100+1)</f>
        <v>793.88099999999997</v>
      </c>
      <c r="I61" s="738">
        <f>'Аксессуары (2)'!J61*1.5*($K$2/100+1)</f>
        <v>992.35125000000005</v>
      </c>
      <c r="J61" s="739">
        <f>'Аксессуары (2)'!J61*1.8*($K$2/100+1)</f>
        <v>1190.8215000000002</v>
      </c>
    </row>
    <row r="62" spans="1:10" ht="14.95" customHeight="1">
      <c r="A62" s="414" t="s">
        <v>3125</v>
      </c>
      <c r="B62" s="737">
        <f>'Аксессуары (2)'!B62*1.3*($K$2/100+1)</f>
        <v>261.17348400000003</v>
      </c>
      <c r="C62" s="737">
        <f>'Аксессуары (2)'!C62*1.3*($K$2/100+1)</f>
        <v>290.19276000000002</v>
      </c>
      <c r="D62" s="737">
        <f>'Аксессуары (2)'!D62*1.3*($K$2/100+1)</f>
        <v>319.21203600000007</v>
      </c>
      <c r="E62" s="737">
        <f>'Аксессуары (2)'!E62*1.6*($K$2/100+1)</f>
        <v>428.59238400000004</v>
      </c>
      <c r="F62" s="737">
        <f>'Аксессуары (2)'!F62*1.6*($K$2/100+1)</f>
        <v>471.45162240000008</v>
      </c>
      <c r="G62" s="737">
        <f>'Аксессуары (2)'!G62*1.6*($K$2/100+1)</f>
        <v>514.31086080000011</v>
      </c>
      <c r="H62" s="738">
        <f>'Аксессуары (2)'!H62*1.8*($K$2/100+1)</f>
        <v>803.61072000000001</v>
      </c>
      <c r="I62" s="738">
        <f>'Аксессуары (2)'!J62*1.5*($K$2/100+1)</f>
        <v>1004.5134</v>
      </c>
      <c r="J62" s="739">
        <f>'Аксессуары (2)'!J62*1.8*($K$2/100+1)</f>
        <v>1205.4160800000002</v>
      </c>
    </row>
    <row r="63" spans="1:10" ht="14.95" customHeight="1">
      <c r="A63" s="414" t="s">
        <v>3126</v>
      </c>
      <c r="B63" s="737">
        <f>'Аксессуары (2)'!B63*1.3*($K$2/100+1)</f>
        <v>262.4032125</v>
      </c>
      <c r="C63" s="737">
        <f>'Аксессуары (2)'!C63*1.3*($K$2/100+1)</f>
        <v>291.55912499999999</v>
      </c>
      <c r="D63" s="737">
        <f>'Аксессуары (2)'!D63*1.3*($K$2/100+1)</f>
        <v>320.71503750000005</v>
      </c>
      <c r="E63" s="737">
        <f>'Аксессуары (2)'!E63*1.6*($K$2/100+1)</f>
        <v>430.61040000000008</v>
      </c>
      <c r="F63" s="737">
        <f>'Аксессуары (2)'!F63*1.6*($K$2/100+1)</f>
        <v>473.67144000000008</v>
      </c>
      <c r="G63" s="737">
        <f>'Аксессуары (2)'!G63*1.6*($K$2/100+1)</f>
        <v>516.73248000000001</v>
      </c>
      <c r="H63" s="738">
        <f>'Аксессуары (2)'!H63*1.8*($K$2/100+1)</f>
        <v>807.39449999999999</v>
      </c>
      <c r="I63" s="738">
        <f>'Аксессуары (2)'!J63*1.5*($K$2/100+1)</f>
        <v>1009.243125</v>
      </c>
      <c r="J63" s="739">
        <f>'Аксессуары (2)'!J63*1.8*($K$2/100+1)</f>
        <v>1211.09175</v>
      </c>
    </row>
    <row r="64" spans="1:10" ht="14.95" customHeight="1">
      <c r="A64" s="414" t="s">
        <v>3127</v>
      </c>
      <c r="B64" s="737">
        <f>'Аксессуары (2)'!B64*1.3*($K$2/100+1)</f>
        <v>264.68699400000003</v>
      </c>
      <c r="C64" s="737">
        <f>'Аксессуары (2)'!C64*1.3*($K$2/100+1)</f>
        <v>294.09666000000004</v>
      </c>
      <c r="D64" s="737">
        <f>'Аксессуары (2)'!D64*1.3*($K$2/100+1)</f>
        <v>323.506326</v>
      </c>
      <c r="E64" s="737">
        <f>'Аксессуары (2)'!E64*1.6*($K$2/100+1)</f>
        <v>434.35814399999998</v>
      </c>
      <c r="F64" s="737">
        <f>'Аксессуары (2)'!F64*1.6*($K$2/100+1)</f>
        <v>477.79395840000007</v>
      </c>
      <c r="G64" s="737">
        <f>'Аксессуары (2)'!G64*1.6*($K$2/100+1)</f>
        <v>521.22977279999986</v>
      </c>
      <c r="H64" s="738">
        <f>'Аксессуары (2)'!H64*1.8*($K$2/100+1)</f>
        <v>814.42151999999999</v>
      </c>
      <c r="I64" s="738">
        <f>'Аксессуары (2)'!J64*1.5*($K$2/100+1)</f>
        <v>1018.0269</v>
      </c>
      <c r="J64" s="739">
        <f>'Аксессуары (2)'!J64*1.8*($K$2/100+1)</f>
        <v>1221.6322799999998</v>
      </c>
    </row>
    <row r="65" spans="1:10" ht="14.95" customHeight="1">
      <c r="A65" s="414" t="s">
        <v>3128</v>
      </c>
      <c r="B65" s="737">
        <f>'Аксессуары (2)'!B65*1.3*($K$2/100+1)</f>
        <v>277.86265650000001</v>
      </c>
      <c r="C65" s="737">
        <f>'Аксессуары (2)'!C65*1.3*($K$2/100+1)</f>
        <v>308.73628499999995</v>
      </c>
      <c r="D65" s="737">
        <f>'Аксессуары (2)'!D65*1.3*($K$2/100+1)</f>
        <v>339.6099135</v>
      </c>
      <c r="E65" s="737">
        <f>'Аксессуары (2)'!E65*1.6*($K$2/100+1)</f>
        <v>455.97974399999998</v>
      </c>
      <c r="F65" s="737">
        <f>'Аксессуары (2)'!F65*1.6*($K$2/100+1)</f>
        <v>501.57771839999998</v>
      </c>
      <c r="G65" s="737">
        <f>'Аксессуары (2)'!G65*1.6*($K$2/100+1)</f>
        <v>547.17569279999998</v>
      </c>
      <c r="H65" s="738">
        <f>'Аксессуары (2)'!H65*1.8*($K$2/100+1)</f>
        <v>854.96202000000005</v>
      </c>
      <c r="I65" s="738">
        <f>'Аксессуары (2)'!J65*1.5*($K$2/100+1)</f>
        <v>1068.7025249999999</v>
      </c>
      <c r="J65" s="739">
        <f>'Аксессуары (2)'!J65*1.8*($K$2/100+1)</f>
        <v>1282.4430299999999</v>
      </c>
    </row>
    <row r="66" spans="1:10" ht="14.95" customHeight="1">
      <c r="A66" s="414" t="s">
        <v>3129</v>
      </c>
      <c r="B66" s="737">
        <f>'Аксессуары (2)'!B66*1.3*($K$2/100+1)</f>
        <v>282.43021950000002</v>
      </c>
      <c r="C66" s="737">
        <f>'Аксессуары (2)'!C66*1.3*($K$2/100+1)</f>
        <v>313.81135499999999</v>
      </c>
      <c r="D66" s="737">
        <f>'Аксессуары (2)'!D66*1.3*($K$2/100+1)</f>
        <v>345.19249050000002</v>
      </c>
      <c r="E66" s="737">
        <f>'Аксессуары (2)'!E66*1.6*($K$2/100+1)</f>
        <v>463.47523199999995</v>
      </c>
      <c r="F66" s="737">
        <f>'Аксессуары (2)'!F66*1.6*($K$2/100+1)</f>
        <v>509.82275520000013</v>
      </c>
      <c r="G66" s="737">
        <f>'Аксессуары (2)'!G66*1.6*($K$2/100+1)</f>
        <v>556.17027840000003</v>
      </c>
      <c r="H66" s="738">
        <f>'Аксессуары (2)'!H66*1.8*($K$2/100+1)</f>
        <v>869.01606000000004</v>
      </c>
      <c r="I66" s="738">
        <f>'Аксессуары (2)'!J66*1.5*($K$2/100+1)</f>
        <v>1086.2700750000001</v>
      </c>
      <c r="J66" s="739">
        <f>'Аксессуары (2)'!J66*1.8*($K$2/100+1)</f>
        <v>1303.5240900000001</v>
      </c>
    </row>
    <row r="67" spans="1:10" ht="14.95" customHeight="1">
      <c r="A67" s="414" t="s">
        <v>3130</v>
      </c>
      <c r="B67" s="737">
        <f>'Аксессуары (2)'!B67*1.3*($K$2/100+1)</f>
        <v>284.53832549999993</v>
      </c>
      <c r="C67" s="737">
        <f>'Аксессуары (2)'!C67*1.3*($K$2/100+1)</f>
        <v>316.15369499999997</v>
      </c>
      <c r="D67" s="737">
        <f>'Аксессуары (2)'!D67*1.3*($K$2/100+1)</f>
        <v>347.76906450000001</v>
      </c>
      <c r="E67" s="737">
        <f>'Аксессуары (2)'!E67*1.6*($K$2/100+1)</f>
        <v>466.93468799999988</v>
      </c>
      <c r="F67" s="737">
        <f>'Аксессуары (2)'!F67*1.6*($K$2/100+1)</f>
        <v>513.62815680000006</v>
      </c>
      <c r="G67" s="737">
        <f>'Аксессуары (2)'!G67*1.6*($K$2/100+1)</f>
        <v>560.32162559999995</v>
      </c>
      <c r="H67" s="738">
        <f>'Аксессуары (2)'!H67*1.8*($K$2/100+1)</f>
        <v>875.50253999999984</v>
      </c>
      <c r="I67" s="738">
        <f>'Аксессуары (2)'!J67*1.5*($K$2/100+1)</f>
        <v>1094.3781750000001</v>
      </c>
      <c r="J67" s="739">
        <f>'Аксессуары (2)'!J67*1.8*($K$2/100+1)</f>
        <v>1313.2538100000002</v>
      </c>
    </row>
    <row r="68" spans="1:10" ht="14.95" customHeight="1">
      <c r="A68" s="414" t="s">
        <v>3131</v>
      </c>
      <c r="B68" s="737">
        <f>'Аксессуары (2)'!B68*1.3*($K$2/100+1)</f>
        <v>291.38967000000002</v>
      </c>
      <c r="C68" s="737">
        <f>'Аксессуары (2)'!C68*1.3*($K$2/100+1)</f>
        <v>323.7663</v>
      </c>
      <c r="D68" s="737">
        <f>'Аксессуары (2)'!D68*1.3*($K$2/100+1)</f>
        <v>356.14293000000004</v>
      </c>
      <c r="E68" s="737">
        <f>'Аксессуары (2)'!E68*1.6*($K$2/100+1)</f>
        <v>478.17791999999997</v>
      </c>
      <c r="F68" s="737">
        <f>'Аксессуары (2)'!F68*1.6*($K$2/100+1)</f>
        <v>525.99571200000003</v>
      </c>
      <c r="G68" s="737">
        <f>'Аксессуары (2)'!G68*1.6*($K$2/100+1)</f>
        <v>573.81350399999997</v>
      </c>
      <c r="H68" s="738">
        <f>'Аксессуары (2)'!H68*1.8*($K$2/100+1)</f>
        <v>896.58359999999993</v>
      </c>
      <c r="I68" s="738">
        <f>'Аксессуары (2)'!J68*1.5*($K$2/100+1)</f>
        <v>1120.7294999999999</v>
      </c>
      <c r="J68" s="739">
        <f>'Аксессуары (2)'!J68*1.8*($K$2/100+1)</f>
        <v>1344.8753999999999</v>
      </c>
    </row>
    <row r="69" spans="1:10" ht="14.95" customHeight="1">
      <c r="A69" s="414" t="s">
        <v>3132</v>
      </c>
      <c r="B69" s="737">
        <f>'Аксессуары (2)'!B69*1.3*($K$2/100+1)</f>
        <v>300.52479599999998</v>
      </c>
      <c r="C69" s="737">
        <f>'Аксессуары (2)'!C69*1.3*($K$2/100+1)</f>
        <v>333.91644000000002</v>
      </c>
      <c r="D69" s="737">
        <f>'Аксессуары (2)'!D69*1.3*($K$2/100+1)</f>
        <v>367.30808400000006</v>
      </c>
      <c r="E69" s="737">
        <f>'Аксессуары (2)'!E69*1.6*($K$2/100+1)</f>
        <v>493.16889599999996</v>
      </c>
      <c r="F69" s="737">
        <f>'Аксессуары (2)'!F69*1.6*($K$2/100+1)</f>
        <v>542.48578559999999</v>
      </c>
      <c r="G69" s="737">
        <f>'Аксессуары (2)'!G69*1.6*($K$2/100+1)</f>
        <v>591.80267519999995</v>
      </c>
      <c r="H69" s="738">
        <f>'Аксессуары (2)'!H69*1.8*($K$2/100+1)</f>
        <v>924.69168000000002</v>
      </c>
      <c r="I69" s="738">
        <f>'Аксессуары (2)'!J69*1.5*($K$2/100+1)</f>
        <v>1155.8645999999997</v>
      </c>
      <c r="J69" s="739">
        <f>'Аксессуары (2)'!J69*1.8*($K$2/100+1)</f>
        <v>1387.0375199999999</v>
      </c>
    </row>
    <row r="70" spans="1:10" ht="14.95" customHeight="1">
      <c r="A70" s="414" t="s">
        <v>3133</v>
      </c>
      <c r="B70" s="737">
        <f>'Аксессуары (2)'!B70*1.3*($K$2/100+1)</f>
        <v>293.49777599999999</v>
      </c>
      <c r="C70" s="737">
        <f>'Аксессуары (2)'!C70*1.3*($K$2/100+1)</f>
        <v>326.10863999999998</v>
      </c>
      <c r="D70" s="737">
        <f>'Аксессуары (2)'!D70*1.3*($K$2/100+1)</f>
        <v>358.71950399999997</v>
      </c>
      <c r="E70" s="737">
        <f>'Аксессуары (2)'!E70*1.6*($K$2/100+1)</f>
        <v>481.63737599999996</v>
      </c>
      <c r="F70" s="737">
        <f>'Аксессуары (2)'!F70*1.6*($K$2/100+1)</f>
        <v>529.80111360000001</v>
      </c>
      <c r="G70" s="737">
        <f>'Аксессуары (2)'!G70*1.6*($K$2/100+1)</f>
        <v>577.96485119999988</v>
      </c>
      <c r="H70" s="738">
        <f>'Аксессуары (2)'!H70*1.8*($K$2/100+1)</f>
        <v>903.07007999999996</v>
      </c>
      <c r="I70" s="738">
        <f>'Аксессуары (2)'!J70*1.5*($K$2/100+1)</f>
        <v>1128.8375999999998</v>
      </c>
      <c r="J70" s="739">
        <f>'Аксессуары (2)'!J70*1.8*($K$2/100+1)</f>
        <v>1354.6051199999997</v>
      </c>
    </row>
    <row r="71" spans="1:10" ht="14.95" customHeight="1">
      <c r="A71" s="414" t="s">
        <v>3134</v>
      </c>
      <c r="B71" s="737">
        <f>'Аксессуары (2)'!B71*1.3*($K$2/100+1)</f>
        <v>298.24101449999995</v>
      </c>
      <c r="C71" s="737">
        <f>'Аксессуары (2)'!C71*1.3*($K$2/100+1)</f>
        <v>331.37890499999997</v>
      </c>
      <c r="D71" s="737">
        <f>'Аксессуары (2)'!D71*1.3*($K$2/100+1)</f>
        <v>364.5167955</v>
      </c>
      <c r="E71" s="737">
        <f>'Аксессуары (2)'!E71*1.6*($K$2/100+1)</f>
        <v>489.42115199999995</v>
      </c>
      <c r="F71" s="737">
        <f>'Аксессуары (2)'!F71*1.6*($K$2/100+1)</f>
        <v>538.36326720000011</v>
      </c>
      <c r="G71" s="737">
        <f>'Аксессуары (2)'!G71*1.6*($K$2/100+1)</f>
        <v>587.30538239999998</v>
      </c>
      <c r="H71" s="738">
        <f>'Аксессуары (2)'!H71*1.8*($K$2/100+1)</f>
        <v>917.66465999999991</v>
      </c>
      <c r="I71" s="738">
        <f>'Аксессуары (2)'!J71*1.5*($K$2/100+1)</f>
        <v>1147.0808249999998</v>
      </c>
      <c r="J71" s="739">
        <f>'Аксессуары (2)'!J71*1.8*($K$2/100+1)</f>
        <v>1376.4969899999999</v>
      </c>
    </row>
    <row r="72" spans="1:10" ht="14.95" customHeight="1">
      <c r="A72" s="414" t="s">
        <v>3135</v>
      </c>
      <c r="B72" s="737">
        <f>'Аксессуары (2)'!B72*1.3*($K$2/100+1)</f>
        <v>324.41666399999997</v>
      </c>
      <c r="C72" s="737">
        <f>'Аксессуары (2)'!C72*1.3*($K$2/100+1)</f>
        <v>360.46296000000001</v>
      </c>
      <c r="D72" s="737">
        <f>'Аксессуары (2)'!D72*1.3*($K$2/100+1)</f>
        <v>396.50925600000005</v>
      </c>
      <c r="E72" s="737">
        <f>'Аксессуары (2)'!E72*1.6*($K$2/100+1)</f>
        <v>532.37606400000004</v>
      </c>
      <c r="F72" s="737">
        <f>'Аксессуары (2)'!F72*1.6*($K$2/100+1)</f>
        <v>585.61367040000016</v>
      </c>
      <c r="G72" s="737">
        <f>'Аксессуары (2)'!G72*1.6*($K$2/100+1)</f>
        <v>638.85127679999994</v>
      </c>
      <c r="H72" s="738">
        <f>'Аксессуары (2)'!H72*1.8*($K$2/100+1)</f>
        <v>998.20511999999997</v>
      </c>
      <c r="I72" s="738">
        <f>'Аксессуары (2)'!J72*1.5*($K$2/100+1)</f>
        <v>1247.7564</v>
      </c>
      <c r="J72" s="739">
        <f>'Аксессуары (2)'!J72*1.8*($K$2/100+1)</f>
        <v>1497.3076799999999</v>
      </c>
    </row>
    <row r="73" spans="1:10" ht="14.95" customHeight="1">
      <c r="A73" s="414" t="s">
        <v>3136</v>
      </c>
      <c r="B73" s="737">
        <f>'Аксессуары (2)'!B73*1.3*($K$2/100+1)</f>
        <v>328.28152499999999</v>
      </c>
      <c r="C73" s="737">
        <f>'Аксессуары (2)'!C73*1.3*($K$2/100+1)</f>
        <v>364.75725</v>
      </c>
      <c r="D73" s="737">
        <f>'Аксессуары (2)'!D73*1.3*($K$2/100+1)</f>
        <v>401.23297500000007</v>
      </c>
      <c r="E73" s="737">
        <f>'Аксессуары (2)'!E73*1.6*($K$2/100+1)</f>
        <v>538.71840000000009</v>
      </c>
      <c r="F73" s="737">
        <f>'Аксессуары (2)'!F73*1.6*($K$2/100+1)</f>
        <v>592.59024000000011</v>
      </c>
      <c r="G73" s="737">
        <f>'Аксессуары (2)'!G73*1.6*($K$2/100+1)</f>
        <v>646.46208000000001</v>
      </c>
      <c r="H73" s="738">
        <f>'Аксессуары (2)'!H73*1.8*($K$2/100+1)</f>
        <v>1010.0970000000001</v>
      </c>
      <c r="I73" s="738">
        <f>'Аксессуары (2)'!J73*1.5*($K$2/100+1)</f>
        <v>1262.6212499999999</v>
      </c>
      <c r="J73" s="739">
        <f>'Аксессуары (2)'!J73*1.8*($K$2/100+1)</f>
        <v>1515.1455000000001</v>
      </c>
    </row>
    <row r="74" spans="1:10" ht="14.95" customHeight="1">
      <c r="A74" s="414" t="s">
        <v>3137</v>
      </c>
      <c r="B74" s="737">
        <f>'Аксессуары (2)'!B74*1.3*($K$2/100+1)</f>
        <v>322.48423349999996</v>
      </c>
      <c r="C74" s="737">
        <f>'Аксессуары (2)'!C74*1.3*($K$2/100+1)</f>
        <v>358.31581499999999</v>
      </c>
      <c r="D74" s="737">
        <f>'Аксессуары (2)'!D74*1.3*($K$2/100+1)</f>
        <v>394.14739650000001</v>
      </c>
      <c r="E74" s="737">
        <f>'Аксессуары (2)'!E74*1.6*($K$2/100+1)</f>
        <v>529.20489600000008</v>
      </c>
      <c r="F74" s="737">
        <f>'Аксессуары (2)'!F74*1.6*($K$2/100+1)</f>
        <v>582.12538559999996</v>
      </c>
      <c r="G74" s="737">
        <f>'Аксессуары (2)'!G74*1.6*($K$2/100+1)</f>
        <v>635.04587519999995</v>
      </c>
      <c r="H74" s="738">
        <f>'Аксессуары (2)'!H74*1.8*($K$2/100+1)</f>
        <v>992.2591799999999</v>
      </c>
      <c r="I74" s="738">
        <f>'Аксессуары (2)'!J74*1.5*($K$2/100+1)</f>
        <v>1240.3239749999998</v>
      </c>
      <c r="J74" s="739">
        <f>'Аксессуары (2)'!J74*1.8*($K$2/100+1)</f>
        <v>1488.3887699999998</v>
      </c>
    </row>
    <row r="75" spans="1:10" ht="14.95" customHeight="1">
      <c r="A75" s="414" t="s">
        <v>3138</v>
      </c>
      <c r="B75" s="737">
        <f>'Аксессуары (2)'!B75*1.3*($K$2/100+1)</f>
        <v>328.45720050000006</v>
      </c>
      <c r="C75" s="737">
        <f>'Аксессуары (2)'!C75*1.3*($K$2/100+1)</f>
        <v>364.95244500000001</v>
      </c>
      <c r="D75" s="737">
        <f>'Аксессуары (2)'!D75*1.3*($K$2/100+1)</f>
        <v>401.44768950000008</v>
      </c>
      <c r="E75" s="737">
        <f>'Аксессуары (2)'!E75*1.6*($K$2/100+1)</f>
        <v>539.00668800000005</v>
      </c>
      <c r="F75" s="737">
        <f>'Аксессуары (2)'!F75*1.6*($K$2/100+1)</f>
        <v>592.9073568</v>
      </c>
      <c r="G75" s="737">
        <f>'Аксессуары (2)'!G75*1.6*($K$2/100+1)</f>
        <v>646.80802559999995</v>
      </c>
      <c r="H75" s="738">
        <f>'Аксессуары (2)'!H75*1.8*($K$2/100+1)</f>
        <v>1010.6375400000002</v>
      </c>
      <c r="I75" s="738">
        <f>'Аксессуары (2)'!J75*1.5*($K$2/100+1)</f>
        <v>1263.2969250000001</v>
      </c>
      <c r="J75" s="739">
        <f>'Аксессуары (2)'!J75*1.8*($K$2/100+1)</f>
        <v>1515.95631</v>
      </c>
    </row>
    <row r="76" spans="1:10" ht="14.95" customHeight="1">
      <c r="A76" s="414" t="s">
        <v>3139</v>
      </c>
      <c r="B76" s="737">
        <f>'Аксессуары (2)'!B76*1.3*($K$2/100+1)</f>
        <v>331.79503500000004</v>
      </c>
      <c r="C76" s="737">
        <f>'Аксессуары (2)'!C76*1.3*($K$2/100+1)</f>
        <v>368.66115000000002</v>
      </c>
      <c r="D76" s="737">
        <f>'Аксессуары (2)'!D76*1.3*($K$2/100+1)</f>
        <v>405.52726500000006</v>
      </c>
      <c r="E76" s="737">
        <f>'Аксессуары (2)'!E76*1.6*($K$2/100+1)</f>
        <v>544.48415999999997</v>
      </c>
      <c r="F76" s="737">
        <f>'Аксессуары (2)'!F76*1.6*($K$2/100+1)</f>
        <v>598.93257600000004</v>
      </c>
      <c r="G76" s="737">
        <f>'Аксессуары (2)'!G76*1.6*($K$2/100+1)</f>
        <v>653.38099199999988</v>
      </c>
      <c r="H76" s="738">
        <f>'Аксессуары (2)'!H76*1.8*($K$2/100+1)</f>
        <v>1020.9078000000001</v>
      </c>
      <c r="I76" s="738">
        <f>'Аксессуары (2)'!J76*1.5*($K$2/100+1)</f>
        <v>1276.1347499999999</v>
      </c>
      <c r="J76" s="739">
        <f>'Аксессуары (2)'!J76*1.8*($K$2/100+1)</f>
        <v>1531.3616999999999</v>
      </c>
    </row>
    <row r="77" spans="1:10" ht="14.95" customHeight="1">
      <c r="A77" s="414" t="s">
        <v>3140</v>
      </c>
      <c r="B77" s="737">
        <f>'Аксессуары (2)'!B77*1.3*($K$2/100+1)</f>
        <v>330.91665749999993</v>
      </c>
      <c r="C77" s="737">
        <f>'Аксессуары (2)'!C77*1.3*($K$2/100+1)</f>
        <v>367.68517499999996</v>
      </c>
      <c r="D77" s="737">
        <f>'Аксессуары (2)'!D77*1.3*($K$2/100+1)</f>
        <v>404.45369249999999</v>
      </c>
      <c r="E77" s="737">
        <f>'Аксессуары (2)'!E77*1.6*($K$2/100+1)</f>
        <v>543.04272000000003</v>
      </c>
      <c r="F77" s="737">
        <f>'Аксессуары (2)'!F77*1.6*($K$2/100+1)</f>
        <v>597.346992</v>
      </c>
      <c r="G77" s="737">
        <f>'Аксессуары (2)'!G77*1.6*($K$2/100+1)</f>
        <v>651.65126399999986</v>
      </c>
      <c r="H77" s="738">
        <f>'Аксессуары (2)'!H77*1.8*($K$2/100+1)</f>
        <v>1018.2050999999998</v>
      </c>
      <c r="I77" s="738">
        <f>'Аксессуары (2)'!J77*1.5*($K$2/100+1)</f>
        <v>1272.7563749999999</v>
      </c>
      <c r="J77" s="739">
        <f>'Аксессуары (2)'!J77*1.8*($K$2/100+1)</f>
        <v>1527.30765</v>
      </c>
    </row>
    <row r="78" spans="1:10" ht="14.95" customHeight="1">
      <c r="A78" s="414" t="s">
        <v>3141</v>
      </c>
      <c r="B78" s="737">
        <f>'Аксессуары (2)'!B78*1.3*($K$2/100+1)</f>
        <v>352.87609500000002</v>
      </c>
      <c r="C78" s="737">
        <f>'Аксессуары (2)'!C78*1.3*($K$2/100+1)</f>
        <v>392.08454999999998</v>
      </c>
      <c r="D78" s="737">
        <f>'Аксессуары (2)'!D78*1.3*($K$2/100+1)</f>
        <v>431.29300499999999</v>
      </c>
      <c r="E78" s="737">
        <f>'Аксессуары (2)'!E78*1.6*($K$2/100+1)</f>
        <v>579.07871999999998</v>
      </c>
      <c r="F78" s="737">
        <f>'Аксессуары (2)'!F78*1.6*($K$2/100+1)</f>
        <v>636.98659200000009</v>
      </c>
      <c r="G78" s="737">
        <f>'Аксессуары (2)'!G78*1.6*($K$2/100+1)</f>
        <v>694.89446399999986</v>
      </c>
      <c r="H78" s="738">
        <f>'Аксессуары (2)'!H78*1.8*($K$2/100+1)</f>
        <v>1085.7726</v>
      </c>
      <c r="I78" s="738">
        <f>'Аксессуары (2)'!J78*1.5*($K$2/100+1)</f>
        <v>1357.2157500000001</v>
      </c>
      <c r="J78" s="739">
        <f>'Аксессуары (2)'!J78*1.8*($K$2/100+1)</f>
        <v>1628.6588999999999</v>
      </c>
    </row>
    <row r="79" spans="1:10" ht="14.95" customHeight="1">
      <c r="A79" s="414" t="s">
        <v>3142</v>
      </c>
      <c r="B79" s="737">
        <f>'Аксессуары (2)'!B79*1.3*($K$2/100+1)</f>
        <v>372.2004</v>
      </c>
      <c r="C79" s="737">
        <f>'Аксессуары (2)'!C79*1.3*($K$2/100+1)</f>
        <v>413.55599999999998</v>
      </c>
      <c r="D79" s="737">
        <f>'Аксессуары (2)'!D79*1.3*($K$2/100+1)</f>
        <v>454.91160000000008</v>
      </c>
      <c r="E79" s="737">
        <f>'Аксессуары (2)'!E79*1.6*($K$2/100+1)</f>
        <v>610.79040000000009</v>
      </c>
      <c r="F79" s="737">
        <f>'Аксессуары (2)'!F79*1.6*($K$2/100+1)</f>
        <v>671.86944000000005</v>
      </c>
      <c r="G79" s="737">
        <f>'Аксессуары (2)'!G79*1.6*($K$2/100+1)</f>
        <v>732.94848000000002</v>
      </c>
      <c r="H79" s="738">
        <f>'Аксессуары (2)'!H79*1.8*($K$2/100+1)</f>
        <v>1145.232</v>
      </c>
      <c r="I79" s="738">
        <f>'Аксессуары (2)'!J79*1.5*($K$2/100+1)</f>
        <v>1431.5400000000002</v>
      </c>
      <c r="J79" s="739">
        <f>'Аксессуары (2)'!J79*1.8*($K$2/100+1)</f>
        <v>1717.8480000000002</v>
      </c>
    </row>
    <row r="80" spans="1:10" ht="14.95" customHeight="1">
      <c r="A80" s="414" t="s">
        <v>3143</v>
      </c>
      <c r="B80" s="737">
        <f>'Аксессуары (2)'!B80*1.3*($K$2/100+1)</f>
        <v>413.1327915</v>
      </c>
      <c r="C80" s="737">
        <f>'Аксессуары (2)'!C80*1.3*($K$2/100+1)</f>
        <v>459.03643499999993</v>
      </c>
      <c r="D80" s="737">
        <f>'Аксессуары (2)'!D80*1.3*($K$2/100+1)</f>
        <v>504.94007849999997</v>
      </c>
      <c r="E80" s="737">
        <f>'Аксессуары (2)'!E80*1.6*($K$2/100+1)</f>
        <v>677.96150399999988</v>
      </c>
      <c r="F80" s="737">
        <f>'Аксессуары (2)'!F80*1.6*($K$2/100+1)</f>
        <v>745.75765439999998</v>
      </c>
      <c r="G80" s="737">
        <f>'Аксессуары (2)'!G80*1.6*($K$2/100+1)</f>
        <v>813.55380479999974</v>
      </c>
      <c r="H80" s="738">
        <f>'Аксессуары (2)'!H80*1.8*($K$2/100+1)</f>
        <v>1271.1778199999999</v>
      </c>
      <c r="I80" s="738">
        <f>'Аксессуары (2)'!J80*1.5*($K$2/100+1)</f>
        <v>1588.9722749999999</v>
      </c>
      <c r="J80" s="739">
        <f>'Аксессуары (2)'!J80*1.8*($K$2/100+1)</f>
        <v>1906.7667300000001</v>
      </c>
    </row>
    <row r="81" spans="1:10" ht="14.95" customHeight="1">
      <c r="A81" s="414" t="s">
        <v>3144</v>
      </c>
      <c r="B81" s="737">
        <f>'Аксессуары (2)'!B81*1.3*($K$2/100+1)</f>
        <v>363.41662500000001</v>
      </c>
      <c r="C81" s="737">
        <f>'Аксессуары (2)'!C81*1.3*($K$2/100+1)</f>
        <v>403.79624999999999</v>
      </c>
      <c r="D81" s="737">
        <f>'Аксессуары (2)'!D81*1.3*($K$2/100+1)</f>
        <v>444.17587500000008</v>
      </c>
      <c r="E81" s="737">
        <f>'Аксессуары (2)'!E81*1.6*($K$2/100+1)</f>
        <v>596.37600000000009</v>
      </c>
      <c r="F81" s="737">
        <f>'Аксессуары (2)'!F81*1.6*($K$2/100+1)</f>
        <v>656.01360000000011</v>
      </c>
      <c r="G81" s="737">
        <f>'Аксессуары (2)'!G81*1.6*($K$2/100+1)</f>
        <v>715.65120000000002</v>
      </c>
      <c r="H81" s="738">
        <f>'Аксессуары (2)'!H81*1.8*($K$2/100+1)</f>
        <v>1118.2049999999999</v>
      </c>
      <c r="I81" s="738">
        <f>'Аксессуары (2)'!J81*1.5*($K$2/100+1)</f>
        <v>1397.7562499999999</v>
      </c>
      <c r="J81" s="739">
        <f>'Аксессуары (2)'!J81*1.8*($K$2/100+1)</f>
        <v>1677.3075000000001</v>
      </c>
    </row>
    <row r="82" spans="1:10" ht="14.95" customHeight="1">
      <c r="A82" s="414" t="s">
        <v>3145</v>
      </c>
      <c r="B82" s="737">
        <f>'Аксессуары (2)'!B82*1.3*($K$2/100+1)</f>
        <v>380.98417499999999</v>
      </c>
      <c r="C82" s="737">
        <f>'Аксессуары (2)'!C82*1.3*($K$2/100+1)</f>
        <v>423.31574999999998</v>
      </c>
      <c r="D82" s="737">
        <f>'Аксессуары (2)'!D82*1.3*($K$2/100+1)</f>
        <v>465.64732500000002</v>
      </c>
      <c r="E82" s="737">
        <f>'Аксессуары (2)'!E82*1.6*($K$2/100+1)</f>
        <v>625.20479999999998</v>
      </c>
      <c r="F82" s="737">
        <f>'Аксессуары (2)'!F82*1.6*($K$2/100+1)</f>
        <v>687.72528000000011</v>
      </c>
      <c r="G82" s="737">
        <f>'Аксессуары (2)'!G82*1.6*($K$2/100+1)</f>
        <v>750.2457599999999</v>
      </c>
      <c r="H82" s="738">
        <f>'Аксессуары (2)'!H82*1.8*($K$2/100+1)</f>
        <v>1172.259</v>
      </c>
      <c r="I82" s="738">
        <f>'Аксессуары (2)'!J82*1.5*($K$2/100+1)</f>
        <v>1465.3237499999998</v>
      </c>
      <c r="J82" s="739">
        <f>'Аксессуары (2)'!J82*1.8*($K$2/100+1)</f>
        <v>1758.3885</v>
      </c>
    </row>
    <row r="83" spans="1:10" ht="14.95" customHeight="1">
      <c r="A83" s="414" t="s">
        <v>3146</v>
      </c>
      <c r="B83" s="737">
        <f>'Аксессуары (2)'!B83*1.3*($K$2/100+1)</f>
        <v>398.55172499999998</v>
      </c>
      <c r="C83" s="737">
        <f>'Аксессуары (2)'!C83*1.3*($K$2/100+1)</f>
        <v>442.83524999999997</v>
      </c>
      <c r="D83" s="737">
        <f>'Аксессуары (2)'!D83*1.3*($K$2/100+1)</f>
        <v>487.11877499999997</v>
      </c>
      <c r="E83" s="737">
        <f>'Аксессуары (2)'!E83*1.6*($K$2/100+1)</f>
        <v>654.03359999999998</v>
      </c>
      <c r="F83" s="737">
        <f>'Аксессуары (2)'!F83*1.6*($K$2/100+1)</f>
        <v>719.43696000000011</v>
      </c>
      <c r="G83" s="737">
        <f>'Аксессуары (2)'!G83*1.6*($K$2/100+1)</f>
        <v>784.84031999999991</v>
      </c>
      <c r="H83" s="738">
        <f>'Аксессуары (2)'!H83*1.8*($K$2/100+1)</f>
        <v>1226.3129999999999</v>
      </c>
      <c r="I83" s="738">
        <f>'Аксессуары (2)'!J83*1.5*($K$2/100+1)</f>
        <v>1532.8912499999997</v>
      </c>
      <c r="J83" s="739">
        <f>'Аксессуары (2)'!J83*1.8*($K$2/100+1)</f>
        <v>1839.4694999999997</v>
      </c>
    </row>
    <row r="84" spans="1:10" ht="14.95" customHeight="1">
      <c r="A84" s="414" t="s">
        <v>3147</v>
      </c>
      <c r="B84" s="737">
        <f>'Аксессуары (2)'!B84*1.3*($K$2/100+1)</f>
        <v>424.90304999999995</v>
      </c>
      <c r="C84" s="737">
        <f>'Аксессуары (2)'!C84*1.3*($K$2/100+1)</f>
        <v>472.11449999999996</v>
      </c>
      <c r="D84" s="737">
        <f>'Аксессуары (2)'!D84*1.3*($K$2/100+1)</f>
        <v>519.32595000000003</v>
      </c>
      <c r="E84" s="737">
        <f>'Аксессуары (2)'!E84*1.6*($K$2/100+1)</f>
        <v>697.27679999999998</v>
      </c>
      <c r="F84" s="737">
        <f>'Аксессуары (2)'!F84*1.6*($K$2/100+1)</f>
        <v>767.00447999999994</v>
      </c>
      <c r="G84" s="737">
        <f>'Аксессуары (2)'!G84*1.6*($K$2/100+1)</f>
        <v>836.73216000000002</v>
      </c>
      <c r="H84" s="738">
        <f>'Аксессуары (2)'!H84*1.8*($K$2/100+1)</f>
        <v>1307.394</v>
      </c>
      <c r="I84" s="738">
        <f>'Аксессуары (2)'!J84*1.5*($K$2/100+1)</f>
        <v>1634.2424999999998</v>
      </c>
      <c r="J84" s="739">
        <f>'Аксессуары (2)'!J84*1.8*($K$2/100+1)</f>
        <v>1961.0909999999999</v>
      </c>
    </row>
    <row r="85" spans="1:10" ht="14.95" customHeight="1">
      <c r="A85" s="414" t="s">
        <v>3148</v>
      </c>
      <c r="B85" s="737">
        <f>'Аксессуары (2)'!B85*1.3*($K$2/100+1)</f>
        <v>460.03815000000003</v>
      </c>
      <c r="C85" s="737">
        <f>'Аксессуары (2)'!C85*1.3*($K$2/100+1)</f>
        <v>511.15350000000001</v>
      </c>
      <c r="D85" s="737">
        <f>'Аксессуары (2)'!D85*1.3*($K$2/100+1)</f>
        <v>562.26885000000004</v>
      </c>
      <c r="E85" s="737">
        <f>'Аксессуары (2)'!E85*1.6*($K$2/100+1)</f>
        <v>754.93439999999998</v>
      </c>
      <c r="F85" s="737">
        <f>'Аксессуары (2)'!F85*1.6*($K$2/100+1)</f>
        <v>830.42784000000006</v>
      </c>
      <c r="G85" s="737">
        <f>'Аксессуары (2)'!G85*1.6*($K$2/100+1)</f>
        <v>905.92127999999991</v>
      </c>
      <c r="H85" s="738">
        <f>'Аксессуары (2)'!H85*1.8*($K$2/100+1)</f>
        <v>1415.5020000000002</v>
      </c>
      <c r="I85" s="738">
        <f>'Аксессуары (2)'!J85*1.5*($K$2/100+1)</f>
        <v>1769.3775000000001</v>
      </c>
      <c r="J85" s="739">
        <f>'Аксессуары (2)'!J85*1.8*($K$2/100+1)</f>
        <v>2123.2530000000002</v>
      </c>
    </row>
    <row r="86" spans="1:10" ht="14.95" customHeight="1">
      <c r="A86" s="414" t="s">
        <v>3149</v>
      </c>
      <c r="B86" s="737">
        <f>'Аксессуары (2)'!B86*1.3*($K$2/100+1)</f>
        <v>383.794983</v>
      </c>
      <c r="C86" s="737">
        <f>'Аксессуары (2)'!C86*1.3*($K$2/100+1)</f>
        <v>426.43886999999995</v>
      </c>
      <c r="D86" s="737">
        <f>'Аксессуары (2)'!D86*1.3*($K$2/100+1)</f>
        <v>469.08275699999996</v>
      </c>
      <c r="E86" s="737">
        <f>'Аксессуары (2)'!E86*1.6*($K$2/100+1)</f>
        <v>629.81740799999989</v>
      </c>
      <c r="F86" s="737">
        <f>'Аксессуары (2)'!F86*1.6*($K$2/100+1)</f>
        <v>692.79914880000001</v>
      </c>
      <c r="G86" s="737">
        <f>'Аксессуары (2)'!G86*1.6*($K$2/100+1)</f>
        <v>755.7808895999998</v>
      </c>
      <c r="H86" s="738">
        <f>'Аксессуары (2)'!H86*1.8*($K$2/100+1)</f>
        <v>1180.9076399999999</v>
      </c>
      <c r="I86" s="738">
        <f>'Аксессуары (2)'!J86*1.5*($K$2/100+1)</f>
        <v>1476.1345499999998</v>
      </c>
      <c r="J86" s="739">
        <f>'Аксессуары (2)'!J86*1.8*($K$2/100+1)</f>
        <v>1771.3614599999996</v>
      </c>
    </row>
    <row r="87" spans="1:10" ht="14.95" customHeight="1">
      <c r="A87" s="414" t="s">
        <v>3150</v>
      </c>
      <c r="B87" s="737">
        <f>'Аксессуары (2)'!B87*1.3*($K$2/100+1)</f>
        <v>391.34902950000003</v>
      </c>
      <c r="C87" s="737">
        <f>'Аксессуары (2)'!C87*1.3*($K$2/100+1)</f>
        <v>434.83225499999998</v>
      </c>
      <c r="D87" s="737">
        <f>'Аксессуары (2)'!D87*1.3*($K$2/100+1)</f>
        <v>478.31548049999998</v>
      </c>
      <c r="E87" s="737">
        <f>'Аксессуары (2)'!E87*1.6*($K$2/100+1)</f>
        <v>642.2137919999999</v>
      </c>
      <c r="F87" s="737">
        <f>'Аксессуары (2)'!F87*1.6*($K$2/100+1)</f>
        <v>706.43517120000013</v>
      </c>
      <c r="G87" s="737">
        <f>'Аксессуары (2)'!G87*1.6*($K$2/100+1)</f>
        <v>770.6565503999999</v>
      </c>
      <c r="H87" s="738">
        <f>'Аксессуары (2)'!H87*1.8*($K$2/100+1)</f>
        <v>1204.15086</v>
      </c>
      <c r="I87" s="738">
        <f>'Аксессуары (2)'!J87*1.5*($K$2/100+1)</f>
        <v>1505.1885749999997</v>
      </c>
      <c r="J87" s="739">
        <f>'Аксессуары (2)'!J87*1.8*($K$2/100+1)</f>
        <v>1806.2262899999996</v>
      </c>
    </row>
    <row r="88" spans="1:10" ht="14.95" customHeight="1">
      <c r="A88" s="414" t="s">
        <v>3151</v>
      </c>
      <c r="B88" s="737">
        <f>'Аксессуары (2)'!B88*1.3*($K$2/100+1)</f>
        <v>393.28145999999998</v>
      </c>
      <c r="C88" s="737">
        <f>'Аксессуары (2)'!C88*1.3*($K$2/100+1)</f>
        <v>436.9794</v>
      </c>
      <c r="D88" s="737">
        <f>'Аксессуары (2)'!D88*1.3*($K$2/100+1)</f>
        <v>480.67734000000002</v>
      </c>
      <c r="E88" s="737">
        <f>'Аксессуары (2)'!E88*1.6*($K$2/100+1)</f>
        <v>645.38495999999998</v>
      </c>
      <c r="F88" s="737">
        <f>'Аксессуары (2)'!F88*1.6*($K$2/100+1)</f>
        <v>709.92345599999999</v>
      </c>
      <c r="G88" s="737">
        <f>'Аксессуары (2)'!G88*1.6*($K$2/100+1)</f>
        <v>774.46195199999988</v>
      </c>
      <c r="H88" s="738">
        <f>'Аксессуары (2)'!H88*1.8*($K$2/100+1)</f>
        <v>1210.0968</v>
      </c>
      <c r="I88" s="738">
        <f>'Аксессуары (2)'!J88*1.5*($K$2/100+1)</f>
        <v>1512.6209999999999</v>
      </c>
      <c r="J88" s="739">
        <f>'Аксессуары (2)'!J88*1.8*($K$2/100+1)</f>
        <v>1815.1451999999999</v>
      </c>
    </row>
    <row r="89" spans="1:10" ht="14.95" customHeight="1">
      <c r="A89" s="414" t="s">
        <v>3152</v>
      </c>
      <c r="B89" s="737">
        <f>'Аксессуары (2)'!B89*1.3*($K$2/100+1)</f>
        <v>406.45712249999997</v>
      </c>
      <c r="C89" s="737">
        <f>'Аксессуары (2)'!C89*1.3*($K$2/100+1)</f>
        <v>451.61902500000002</v>
      </c>
      <c r="D89" s="737">
        <f>'Аксессуары (2)'!D89*1.3*($K$2/100+1)</f>
        <v>496.78092750000002</v>
      </c>
      <c r="E89" s="737">
        <f>'Аксессуары (2)'!E89*1.6*($K$2/100+1)</f>
        <v>667.00655999999992</v>
      </c>
      <c r="F89" s="737">
        <f>'Аксессуары (2)'!F89*1.6*($K$2/100+1)</f>
        <v>733.70721600000002</v>
      </c>
      <c r="G89" s="737">
        <f>'Аксессуары (2)'!G89*1.6*($K$2/100+1)</f>
        <v>800.40787199999977</v>
      </c>
      <c r="H89" s="738">
        <f>'Аксессуары (2)'!H89*1.8*($K$2/100+1)</f>
        <v>1250.6372999999999</v>
      </c>
      <c r="I89" s="738">
        <f>'Аксессуары (2)'!J89*1.5*($K$2/100+1)</f>
        <v>1563.2966249999999</v>
      </c>
      <c r="J89" s="739">
        <f>'Аксессуары (2)'!J89*1.8*($K$2/100+1)</f>
        <v>1875.9559499999998</v>
      </c>
    </row>
    <row r="90" spans="1:10" ht="14.95" customHeight="1">
      <c r="A90" s="414" t="s">
        <v>3153</v>
      </c>
      <c r="B90" s="737">
        <f>'Аксессуары (2)'!B90*1.3*($K$2/100+1)</f>
        <v>421.56521549999997</v>
      </c>
      <c r="C90" s="737">
        <f>'Аксессуары (2)'!C90*1.3*($K$2/100+1)</f>
        <v>468.40579499999996</v>
      </c>
      <c r="D90" s="737">
        <f>'Аксессуары (2)'!D90*1.3*($K$2/100+1)</f>
        <v>515.2463745</v>
      </c>
      <c r="E90" s="737">
        <f>'Аксессуары (2)'!E90*1.6*($K$2/100+1)</f>
        <v>691.79932799999995</v>
      </c>
      <c r="F90" s="737">
        <f>'Аксессуары (2)'!F90*1.6*($K$2/100+1)</f>
        <v>760.97926079999991</v>
      </c>
      <c r="G90" s="737">
        <f>'Аксессуары (2)'!G90*1.6*($K$2/100+1)</f>
        <v>830.15919359999998</v>
      </c>
      <c r="H90" s="738">
        <f>'Аксессуары (2)'!H90*1.8*($K$2/100+1)</f>
        <v>1297.1237399999998</v>
      </c>
      <c r="I90" s="738">
        <f>'Аксессуары (2)'!J90*1.5*($K$2/100+1)</f>
        <v>1621.4046749999998</v>
      </c>
      <c r="J90" s="739">
        <f>'Аксессуары (2)'!J90*1.8*($K$2/100+1)</f>
        <v>1945.6856099999998</v>
      </c>
    </row>
    <row r="91" spans="1:10" ht="14.95" customHeight="1">
      <c r="A91" s="414" t="s">
        <v>3154</v>
      </c>
      <c r="B91" s="737">
        <f>'Аксессуары (2)'!B91*1.3*($K$2/100+1)</f>
        <v>454.41653399999996</v>
      </c>
      <c r="C91" s="737">
        <f>'Аксессуары (2)'!C91*1.3*($K$2/100+1)</f>
        <v>504.90725999999995</v>
      </c>
      <c r="D91" s="737">
        <f>'Аксессуары (2)'!D91*1.3*($K$2/100+1)</f>
        <v>555.39798600000006</v>
      </c>
      <c r="E91" s="737">
        <f>'Аксессуары (2)'!E91*1.6*($K$2/100+1)</f>
        <v>745.70918399999982</v>
      </c>
      <c r="F91" s="737">
        <f>'Аксессуары (2)'!F91*1.6*($K$2/100+1)</f>
        <v>820.28010239999992</v>
      </c>
      <c r="G91" s="737">
        <f>'Аксессуары (2)'!G91*1.6*($K$2/100+1)</f>
        <v>894.85102079999967</v>
      </c>
      <c r="H91" s="738">
        <f>'Аксессуары (2)'!H91*1.8*($K$2/100+1)</f>
        <v>1398.20472</v>
      </c>
      <c r="I91" s="738">
        <f>'Аксессуары (2)'!J91*1.5*($K$2/100+1)</f>
        <v>1747.7559000000001</v>
      </c>
      <c r="J91" s="739">
        <f>'Аксессуары (2)'!J91*1.8*($K$2/100+1)</f>
        <v>2097.30708</v>
      </c>
    </row>
    <row r="92" spans="1:10" ht="14.95" customHeight="1">
      <c r="A92" s="414" t="s">
        <v>3155</v>
      </c>
      <c r="B92" s="737">
        <f>'Аксессуары (2)'!B92*1.3*($K$2/100+1)</f>
        <v>457.9300439999999</v>
      </c>
      <c r="C92" s="737">
        <f>'Аксессуары (2)'!C92*1.3*($K$2/100+1)</f>
        <v>508.81115999999992</v>
      </c>
      <c r="D92" s="737">
        <f>'Аксессуары (2)'!D92*1.3*($K$2/100+1)</f>
        <v>559.69227599999988</v>
      </c>
      <c r="E92" s="737">
        <f>'Аксессуары (2)'!E92*1.6*($K$2/100+1)</f>
        <v>751.47494399999994</v>
      </c>
      <c r="F92" s="737">
        <f>'Аксессуары (2)'!F92*1.6*($K$2/100+1)</f>
        <v>826.62243839999974</v>
      </c>
      <c r="G92" s="737">
        <f>'Аксессуары (2)'!G92*1.6*($K$2/100+1)</f>
        <v>901.76993279999976</v>
      </c>
      <c r="H92" s="738">
        <f>'Аксессуары (2)'!H92*1.8*($K$2/100+1)</f>
        <v>1409.0155199999997</v>
      </c>
      <c r="I92" s="738">
        <f>'Аксессуары (2)'!J92*1.5*($K$2/100+1)</f>
        <v>1761.2693999999997</v>
      </c>
      <c r="J92" s="739">
        <f>'Аксессуары (2)'!J92*1.8*($K$2/100+1)</f>
        <v>2113.5232799999999</v>
      </c>
    </row>
    <row r="93" spans="1:10" ht="14.95" customHeight="1">
      <c r="A93" s="414" t="s">
        <v>3156</v>
      </c>
      <c r="B93" s="737">
        <f>'Аксессуары (2)'!B93*1.3*($K$2/100+1)</f>
        <v>458.10571950000002</v>
      </c>
      <c r="C93" s="737">
        <f>'Аксессуары (2)'!C93*1.3*($K$2/100+1)</f>
        <v>509.00635499999999</v>
      </c>
      <c r="D93" s="737">
        <f>'Аксессуары (2)'!D93*1.3*($K$2/100+1)</f>
        <v>559.90699050000001</v>
      </c>
      <c r="E93" s="737">
        <f>'Аксессуары (2)'!E93*1.6*($K$2/100+1)</f>
        <v>751.7632319999999</v>
      </c>
      <c r="F93" s="737">
        <f>'Аксессуары (2)'!F93*1.6*($K$2/100+1)</f>
        <v>826.93955520000009</v>
      </c>
      <c r="G93" s="737">
        <f>'Аксессуары (2)'!G93*1.6*($K$2/100+1)</f>
        <v>902.11587839999981</v>
      </c>
      <c r="H93" s="738">
        <f>'Аксессуары (2)'!H93*1.8*($K$2/100+1)</f>
        <v>1409.5560599999999</v>
      </c>
      <c r="I93" s="738">
        <f>'Аксессуары (2)'!J93*1.5*($K$2/100+1)</f>
        <v>1761.9450749999996</v>
      </c>
      <c r="J93" s="739">
        <f>'Аксессуары (2)'!J93*1.8*($K$2/100+1)</f>
        <v>2114.3340899999998</v>
      </c>
    </row>
    <row r="94" spans="1:10" ht="14.95" customHeight="1">
      <c r="A94" s="414" t="s">
        <v>3157</v>
      </c>
      <c r="B94" s="737">
        <f>'Аксессуары (2)'!B94*1.3*($K$2/100+1)</f>
        <v>467.24084549999998</v>
      </c>
      <c r="C94" s="737">
        <f>'Аксессуары (2)'!C94*1.3*($K$2/100+1)</f>
        <v>519.15649499999995</v>
      </c>
      <c r="D94" s="737">
        <f>'Аксессуары (2)'!D94*1.3*($K$2/100+1)</f>
        <v>571.07214449999992</v>
      </c>
      <c r="E94" s="737">
        <f>'Аксессуары (2)'!E94*1.6*($K$2/100+1)</f>
        <v>766.75420799999984</v>
      </c>
      <c r="F94" s="737">
        <f>'Аксессуары (2)'!F94*1.6*($K$2/100+1)</f>
        <v>843.42962880000005</v>
      </c>
      <c r="G94" s="737">
        <f>'Аксессуары (2)'!G94*1.6*($K$2/100+1)</f>
        <v>920.10504959999969</v>
      </c>
      <c r="H94" s="738">
        <f>'Аксессуары (2)'!H94*1.8*($K$2/100+1)</f>
        <v>1437.6641399999996</v>
      </c>
      <c r="I94" s="738">
        <f>'Аксессуары (2)'!J94*1.5*($K$2/100+1)</f>
        <v>1797.0801749999998</v>
      </c>
      <c r="J94" s="739">
        <f>'Аксессуары (2)'!J94*1.8*($K$2/100+1)</f>
        <v>2156.4962099999998</v>
      </c>
    </row>
    <row r="95" spans="1:10" ht="14.95" customHeight="1">
      <c r="A95" s="414" t="s">
        <v>3158</v>
      </c>
      <c r="B95" s="737">
        <f>'Аксессуары (2)'!B95*1.3*($K$2/100+1)</f>
        <v>466.71381899999994</v>
      </c>
      <c r="C95" s="737">
        <f>'Аксессуары (2)'!C95*1.3*($K$2/100+1)</f>
        <v>518.57090999999991</v>
      </c>
      <c r="D95" s="737">
        <f>'Аксессуары (2)'!D95*1.3*($K$2/100+1)</f>
        <v>570.42800099999999</v>
      </c>
      <c r="E95" s="737">
        <f>'Аксессуары (2)'!E95*1.6*($K$2/100+1)</f>
        <v>765.88934399999994</v>
      </c>
      <c r="F95" s="737">
        <f>'Аксессуары (2)'!F95*1.6*($K$2/100+1)</f>
        <v>842.47827840000002</v>
      </c>
      <c r="G95" s="737">
        <f>'Аксессуары (2)'!G95*1.6*($K$2/100+1)</f>
        <v>919.06721279999988</v>
      </c>
      <c r="H95" s="738">
        <f>'Аксессуары (2)'!H95*1.8*($K$2/100+1)</f>
        <v>1436.04252</v>
      </c>
      <c r="I95" s="738">
        <f>'Аксессуары (2)'!J95*1.5*($K$2/100+1)</f>
        <v>1795.0531499999997</v>
      </c>
      <c r="J95" s="739">
        <f>'Аксессуары (2)'!J95*1.8*($K$2/100+1)</f>
        <v>2154.0637799999995</v>
      </c>
    </row>
    <row r="96" spans="1:10" ht="14.95" customHeight="1">
      <c r="A96" s="414" t="s">
        <v>3159</v>
      </c>
      <c r="B96" s="737">
        <f>'Аксессуары (2)'!B96*1.3*($K$2/100+1)</f>
        <v>484.80839549999996</v>
      </c>
      <c r="C96" s="737">
        <f>'Аксессуары (2)'!C96*1.3*($K$2/100+1)</f>
        <v>538.67599499999994</v>
      </c>
      <c r="D96" s="737">
        <f>'Аксессуары (2)'!D96*1.3*($K$2/100+1)</f>
        <v>592.54359450000004</v>
      </c>
      <c r="E96" s="737">
        <f>'Аксессуары (2)'!E96*1.6*($K$2/100+1)</f>
        <v>795.58300799999995</v>
      </c>
      <c r="F96" s="737">
        <f>'Аксессуары (2)'!F96*1.6*($K$2/100+1)</f>
        <v>875.14130879999982</v>
      </c>
      <c r="G96" s="737">
        <f>'Аксессуары (2)'!G96*1.6*($K$2/100+1)</f>
        <v>954.69960959999992</v>
      </c>
      <c r="H96" s="738">
        <f>'Аксессуары (2)'!H96*1.8*($K$2/100+1)</f>
        <v>1491.7181399999999</v>
      </c>
      <c r="I96" s="738">
        <f>'Аксессуары (2)'!J96*1.5*($K$2/100+1)</f>
        <v>1864.6476749999999</v>
      </c>
      <c r="J96" s="739">
        <f>'Аксессуары (2)'!J96*1.8*($K$2/100+1)</f>
        <v>2237.5772099999999</v>
      </c>
    </row>
    <row r="97" spans="1:10" ht="14.95" customHeight="1">
      <c r="A97" s="414" t="s">
        <v>3160</v>
      </c>
      <c r="B97" s="737">
        <f>'Аксессуары (2)'!B97*1.3*($K$2/100+1)</f>
        <v>502.72729650000002</v>
      </c>
      <c r="C97" s="737">
        <f>'Аксессуары (2)'!C97*1.3*($K$2/100+1)</f>
        <v>558.58588499999996</v>
      </c>
      <c r="D97" s="737">
        <f>'Аксессуары (2)'!D97*1.3*($K$2/100+1)</f>
        <v>614.44447350000007</v>
      </c>
      <c r="E97" s="737">
        <f>'Аксессуары (2)'!E97*1.6*($K$2/100+1)</f>
        <v>824.988384</v>
      </c>
      <c r="F97" s="737">
        <f>'Аксессуары (2)'!F97*1.6*($K$2/100+1)</f>
        <v>907.48722240000018</v>
      </c>
      <c r="G97" s="737">
        <f>'Аксессуары (2)'!G97*1.6*($K$2/100+1)</f>
        <v>989.98606080000002</v>
      </c>
      <c r="H97" s="738">
        <f>'Аксессуары (2)'!H97*1.8*($K$2/100+1)</f>
        <v>1546.85322</v>
      </c>
      <c r="I97" s="738">
        <f>'Аксессуары (2)'!J97*1.5*($K$2/100+1)</f>
        <v>1933.566525</v>
      </c>
      <c r="J97" s="739">
        <f>'Аксессуары (2)'!J97*1.8*($K$2/100+1)</f>
        <v>2320.2798300000004</v>
      </c>
    </row>
    <row r="98" spans="1:10" ht="14.95" customHeight="1">
      <c r="A98" s="414" t="s">
        <v>3161</v>
      </c>
      <c r="B98" s="737">
        <f>'Аксессуары (2)'!B98*1.3*($K$2/100+1)</f>
        <v>548.05157550000001</v>
      </c>
      <c r="C98" s="737">
        <f>'Аксессуары (2)'!C98*1.3*($K$2/100+1)</f>
        <v>608.94619499999988</v>
      </c>
      <c r="D98" s="737">
        <f>'Аксессуары (2)'!D98*1.3*($K$2/100+1)</f>
        <v>669.84081449999996</v>
      </c>
      <c r="E98" s="737">
        <f>'Аксессуары (2)'!E98*1.6*($K$2/100+1)</f>
        <v>899.36668799999984</v>
      </c>
      <c r="F98" s="737">
        <f>'Аксессуары (2)'!F98*1.6*($K$2/100+1)</f>
        <v>989.30335679999985</v>
      </c>
      <c r="G98" s="737">
        <f>'Аксессуары (2)'!G98*1.6*($K$2/100+1)</f>
        <v>1079.2400255999999</v>
      </c>
      <c r="H98" s="738">
        <f>'Аксессуары (2)'!H98*1.8*($K$2/100+1)</f>
        <v>1686.3125399999997</v>
      </c>
      <c r="I98" s="738">
        <f>'Аксессуары (2)'!J98*1.5*($K$2/100+1)</f>
        <v>2107.8906749999996</v>
      </c>
      <c r="J98" s="739">
        <f>'Аксессуары (2)'!J98*1.8*($K$2/100+1)</f>
        <v>2529.4688099999998</v>
      </c>
    </row>
    <row r="99" spans="1:10" ht="14.95" customHeight="1">
      <c r="A99" s="414" t="s">
        <v>3162</v>
      </c>
      <c r="B99" s="737">
        <f>'Аксессуары (2)'!B99*1.3*($K$2/100+1)</f>
        <v>442.47059999999993</v>
      </c>
      <c r="C99" s="737">
        <f>'Аксессуары (2)'!C99*1.3*($K$2/100+1)</f>
        <v>491.63399999999996</v>
      </c>
      <c r="D99" s="737">
        <f>'Аксессуары (2)'!D99*1.3*($K$2/100+1)</f>
        <v>540.79740000000004</v>
      </c>
      <c r="E99" s="737">
        <f>'Аксессуары (2)'!E99*1.6*($K$2/100+1)</f>
        <v>726.10559999999987</v>
      </c>
      <c r="F99" s="737">
        <f>'Аксессуары (2)'!F99*1.6*($K$2/100+1)</f>
        <v>798.71615999999995</v>
      </c>
      <c r="G99" s="737">
        <f>'Аксессуары (2)'!G99*1.6*($K$2/100+1)</f>
        <v>871.3267199999998</v>
      </c>
      <c r="H99" s="738">
        <f>'Аксессуары (2)'!H99*1.8*($K$2/100+1)</f>
        <v>1361.4479999999999</v>
      </c>
      <c r="I99" s="738">
        <f>'Аксессуары (2)'!J99*1.5*($K$2/100+1)</f>
        <v>1701.8099999999997</v>
      </c>
      <c r="J99" s="739">
        <f>'Аксессуары (2)'!J99*1.8*($K$2/100+1)</f>
        <v>2042.1719999999996</v>
      </c>
    </row>
    <row r="100" spans="1:10" ht="14.95" customHeight="1">
      <c r="A100" s="414" t="s">
        <v>3163</v>
      </c>
      <c r="B100" s="737">
        <f>'Аксессуары (2)'!B100*1.3*($K$2/100+1)</f>
        <v>537.68672100000003</v>
      </c>
      <c r="C100" s="737">
        <f>'Аксессуары (2)'!C100*1.3*($K$2/100+1)</f>
        <v>597.42968999999994</v>
      </c>
      <c r="D100" s="737">
        <f>'Аксессуары (2)'!D100*1.3*($K$2/100+1)</f>
        <v>657.17265900000007</v>
      </c>
      <c r="E100" s="737">
        <f>'Аксессуары (2)'!E100*1.6*($K$2/100+1)</f>
        <v>882.35769599999981</v>
      </c>
      <c r="F100" s="737">
        <f>'Аксессуары (2)'!F100*1.6*($K$2/100+1)</f>
        <v>970.59346559999994</v>
      </c>
      <c r="G100" s="737">
        <f>'Аксессуары (2)'!G100*1.6*($K$2/100+1)</f>
        <v>1058.8292352000001</v>
      </c>
      <c r="H100" s="738">
        <f>'Аксессуары (2)'!H100*1.8*($K$2/100+1)</f>
        <v>1654.4206799999999</v>
      </c>
      <c r="I100" s="738">
        <f>'Аксессуары (2)'!J100*1.5*($K$2/100+1)</f>
        <v>2068.02585</v>
      </c>
      <c r="J100" s="739">
        <f>'Аксессуары (2)'!J100*1.8*($K$2/100+1)</f>
        <v>2481.6310199999998</v>
      </c>
    </row>
    <row r="101" spans="1:10" ht="14.95" customHeight="1">
      <c r="A101" s="414" t="s">
        <v>3164</v>
      </c>
      <c r="B101" s="737">
        <f>'Аксессуары (2)'!B101*1.3*($K$2/100+1)</f>
        <v>547.87589999999989</v>
      </c>
      <c r="C101" s="737">
        <f>'Аксессуары (2)'!C101*1.3*($K$2/100+1)</f>
        <v>608.75099999999986</v>
      </c>
      <c r="D101" s="737">
        <f>'Аксессуары (2)'!D101*1.3*($K$2/100+1)</f>
        <v>669.62609999999984</v>
      </c>
      <c r="E101" s="737">
        <f>'Аксессуары (2)'!E101*1.6*($K$2/100+1)</f>
        <v>899.07839999999987</v>
      </c>
      <c r="F101" s="737">
        <f>'Аксессуары (2)'!F101*1.6*($K$2/100+1)</f>
        <v>988.98623999999984</v>
      </c>
      <c r="G101" s="737">
        <f>'Аксессуары (2)'!G101*1.6*($K$2/100+1)</f>
        <v>1078.8940799999998</v>
      </c>
      <c r="H101" s="738">
        <f>'Аксессуары (2)'!H101*1.8*($K$2/100+1)</f>
        <v>1685.7719999999997</v>
      </c>
      <c r="I101" s="738">
        <f>'Аксессуары (2)'!J101*1.5*($K$2/100+1)</f>
        <v>2107.2149999999997</v>
      </c>
      <c r="J101" s="739">
        <f>'Аксессуары (2)'!J101*1.8*($K$2/100+1)</f>
        <v>2528.6579999999994</v>
      </c>
    </row>
    <row r="102" spans="1:10" ht="14.95" customHeight="1">
      <c r="A102" s="414" t="s">
        <v>3165</v>
      </c>
      <c r="B102" s="737">
        <f>'Аксессуары (2)'!B102*1.3*($K$2/100+1)</f>
        <v>565.44344999999998</v>
      </c>
      <c r="C102" s="737">
        <f>'Аксессуары (2)'!C102*1.3*($K$2/100+1)</f>
        <v>628.27049999999997</v>
      </c>
      <c r="D102" s="737">
        <f>'Аксессуары (2)'!D102*1.3*($K$2/100+1)</f>
        <v>691.09755000000007</v>
      </c>
      <c r="E102" s="737">
        <f>'Аксессуары (2)'!E102*1.6*($K$2/100+1)</f>
        <v>927.90719999999988</v>
      </c>
      <c r="F102" s="737">
        <f>'Аксессуары (2)'!F102*1.6*($K$2/100+1)</f>
        <v>1020.6979200000001</v>
      </c>
      <c r="G102" s="737">
        <f>'Аксессуары (2)'!G102*1.6*($K$2/100+1)</f>
        <v>1113.4886399999998</v>
      </c>
      <c r="H102" s="738">
        <f>'Аксессуары (2)'!H102*1.8*($K$2/100+1)</f>
        <v>1739.826</v>
      </c>
      <c r="I102" s="738">
        <f>'Аксессуары (2)'!J102*1.5*($K$2/100+1)</f>
        <v>2174.7824999999998</v>
      </c>
      <c r="J102" s="739">
        <f>'Аксессуары (2)'!J102*1.8*($K$2/100+1)</f>
        <v>2609.7389999999996</v>
      </c>
    </row>
    <row r="103" spans="1:10" ht="14.95" customHeight="1">
      <c r="A103" s="414" t="s">
        <v>3166</v>
      </c>
      <c r="B103" s="737">
        <f>'Аксессуары (2)'!B103*1.3*($K$2/100+1)</f>
        <v>583.01099999999997</v>
      </c>
      <c r="C103" s="737">
        <f>'Аксессуары (2)'!C103*1.3*($K$2/100+1)</f>
        <v>647.79</v>
      </c>
      <c r="D103" s="737">
        <f>'Аксессуары (2)'!D103*1.3*($K$2/100+1)</f>
        <v>712.56900000000007</v>
      </c>
      <c r="E103" s="737">
        <f>'Аксессуары (2)'!E103*1.6*($K$2/100+1)</f>
        <v>956.73599999999999</v>
      </c>
      <c r="F103" s="737">
        <f>'Аксессуары (2)'!F103*1.6*($K$2/100+1)</f>
        <v>1052.4096</v>
      </c>
      <c r="G103" s="737">
        <f>'Аксессуары (2)'!G103*1.6*($K$2/100+1)</f>
        <v>1148.0832</v>
      </c>
      <c r="H103" s="738">
        <f>'Аксессуары (2)'!H103*1.8*($K$2/100+1)</f>
        <v>1793.8799999999999</v>
      </c>
      <c r="I103" s="738">
        <f>'Аксессуары (2)'!J103*1.5*($K$2/100+1)</f>
        <v>2242.35</v>
      </c>
      <c r="J103" s="739">
        <f>'Аксессуары (2)'!J103*1.8*($K$2/100+1)</f>
        <v>2690.8199999999997</v>
      </c>
    </row>
    <row r="104" spans="1:10" ht="14.95" customHeight="1">
      <c r="A104" s="414" t="s">
        <v>3167</v>
      </c>
      <c r="B104" s="737">
        <f>'Аксессуары (2)'!B104*1.3*($K$2/100+1)</f>
        <v>588.45694049999997</v>
      </c>
      <c r="C104" s="737">
        <f>'Аксессуары (2)'!C104*1.3*($K$2/100+1)</f>
        <v>653.84104500000001</v>
      </c>
      <c r="D104" s="737">
        <f>'Аксессуары (2)'!D104*1.3*($K$2/100+1)</f>
        <v>719.22514950000004</v>
      </c>
      <c r="E104" s="737">
        <f>'Аксессуары (2)'!E104*1.6*($K$2/100+1)</f>
        <v>965.67292800000007</v>
      </c>
      <c r="F104" s="737">
        <f>'Аксессуары (2)'!F104*1.6*($K$2/100+1)</f>
        <v>1062.2402208000001</v>
      </c>
      <c r="G104" s="737">
        <f>'Аксессуары (2)'!G104*1.6*($K$2/100+1)</f>
        <v>1158.8075136000002</v>
      </c>
      <c r="H104" s="738">
        <f>'Аксессуары (2)'!H104*1.8*($K$2/100+1)</f>
        <v>1810.6367400000001</v>
      </c>
      <c r="I104" s="738">
        <f>'Аксессуары (2)'!J104*1.5*($K$2/100+1)</f>
        <v>2263.2959249999999</v>
      </c>
      <c r="J104" s="739">
        <f>'Аксессуары (2)'!J104*1.8*($K$2/100+1)</f>
        <v>2715.9551100000003</v>
      </c>
    </row>
    <row r="105" spans="1:10" ht="14.95" customHeight="1">
      <c r="A105" s="414" t="s">
        <v>3168</v>
      </c>
      <c r="B105" s="737">
        <f>'Аксессуары (2)'!B105*1.3*($K$2/100+1)</f>
        <v>618.14610000000005</v>
      </c>
      <c r="C105" s="737">
        <f>'Аксессуары (2)'!C105*1.3*($K$2/100+1)</f>
        <v>686.82899999999995</v>
      </c>
      <c r="D105" s="737">
        <f>'Аксессуары (2)'!D105*1.3*($K$2/100+1)</f>
        <v>755.51189999999997</v>
      </c>
      <c r="E105" s="737">
        <f>'Аксессуары (2)'!E105*1.6*($K$2/100+1)</f>
        <v>1014.3935999999999</v>
      </c>
      <c r="F105" s="737">
        <f>'Аксессуары (2)'!F105*1.6*($K$2/100+1)</f>
        <v>1115.83296</v>
      </c>
      <c r="G105" s="737">
        <f>'Аксессуары (2)'!G105*1.6*($K$2/100+1)</f>
        <v>1217.2723199999998</v>
      </c>
      <c r="H105" s="738">
        <f>'Аксессуары (2)'!H105*1.8*($K$2/100+1)</f>
        <v>1901.9879999999998</v>
      </c>
      <c r="I105" s="738">
        <f>'Аксессуары (2)'!J105*1.5*($K$2/100+1)</f>
        <v>2377.4849999999997</v>
      </c>
      <c r="J105" s="739">
        <f>'Аксессуары (2)'!J105*1.8*($K$2/100+1)</f>
        <v>2852.9819999999995</v>
      </c>
    </row>
    <row r="106" spans="1:10" ht="14.95" customHeight="1" thickBot="1">
      <c r="A106" s="415" t="s">
        <v>3169</v>
      </c>
      <c r="B106" s="737">
        <f>'Аксессуары (2)'!B106*1.3*($K$2/100+1)</f>
        <v>653.28120000000001</v>
      </c>
      <c r="C106" s="737">
        <f>'Аксессуары (2)'!C106*1.3*($K$2/100+1)</f>
        <v>725.86799999999994</v>
      </c>
      <c r="D106" s="737">
        <f>'Аксессуары (2)'!D106*1.3*($K$2/100+1)</f>
        <v>798.45479999999998</v>
      </c>
      <c r="E106" s="737">
        <f>'Аксессуары (2)'!E106*1.6*($K$2/100+1)</f>
        <v>1072.0512000000001</v>
      </c>
      <c r="F106" s="737">
        <f>'Аксессуары (2)'!F106*1.6*($K$2/100+1)</f>
        <v>1179.25632</v>
      </c>
      <c r="G106" s="737">
        <f>'Аксессуары (2)'!G106*1.6*($K$2/100+1)</f>
        <v>1286.4614399999998</v>
      </c>
      <c r="H106" s="738">
        <f>'Аксессуары (2)'!H106*1.8*($K$2/100+1)</f>
        <v>2010.096</v>
      </c>
      <c r="I106" s="738">
        <f>'Аксессуары (2)'!J106*1.5*($K$2/100+1)</f>
        <v>2512.62</v>
      </c>
      <c r="J106" s="739">
        <f>'Аксессуары (2)'!J106*1.8*($K$2/100+1)</f>
        <v>3015.1439999999998</v>
      </c>
    </row>
    <row r="107" spans="1:10" s="254" customFormat="1" ht="14.95" customHeight="1" thickBot="1">
      <c r="A107" s="615" t="s">
        <v>3170</v>
      </c>
      <c r="B107" s="842"/>
      <c r="C107" s="843"/>
      <c r="D107" s="843"/>
      <c r="E107" s="843"/>
      <c r="F107" s="843"/>
      <c r="G107" s="843"/>
      <c r="H107" s="843"/>
      <c r="I107" s="843"/>
      <c r="J107" s="844"/>
    </row>
    <row r="108" spans="1:10" ht="14.95" customHeight="1">
      <c r="A108" s="423" t="s">
        <v>3171</v>
      </c>
      <c r="B108" s="737">
        <f>'Аксессуары (2)'!B108*1.3*($K$2/100+1)</f>
        <v>76.526950499999998</v>
      </c>
      <c r="C108" s="737">
        <f>'Аксессуары (2)'!C108*1.3*($K$2/100+1)</f>
        <v>85.029944999999984</v>
      </c>
      <c r="D108" s="737">
        <f>'Аксессуары (2)'!D108*1.3*($K$2/100+1)</f>
        <v>93.532939499999998</v>
      </c>
      <c r="E108" s="737">
        <f>'Аксессуары (2)'!E108*1.6*($K$2/100+1)</f>
        <v>125.58268799999999</v>
      </c>
      <c r="F108" s="737">
        <f>'Аксессуары (2)'!F108*1.6*($K$2/100+1)</f>
        <v>138.14095679999997</v>
      </c>
      <c r="G108" s="737">
        <f>'Аксессуары (2)'!G108*1.6*($K$2/100+1)</f>
        <v>150.69922559999998</v>
      </c>
      <c r="H108" s="738">
        <f>'Аксессуары (2)'!H108*1.8*($K$2/100+1)</f>
        <v>235.46753999999996</v>
      </c>
      <c r="I108" s="738">
        <f>'Аксессуары (2)'!J108*1.48*($K$2/100+1)</f>
        <v>290.409966</v>
      </c>
      <c r="J108" s="739">
        <f>'Аксессуары (2)'!J108*1.8*($K$2/100+1)</f>
        <v>353.20131000000003</v>
      </c>
    </row>
    <row r="109" spans="1:10" ht="14.95" customHeight="1">
      <c r="A109" s="414" t="s">
        <v>3172</v>
      </c>
      <c r="B109" s="737">
        <f>'Аксессуары (2)'!B109*1.3*($K$2/100+1)</f>
        <v>77.581003499999994</v>
      </c>
      <c r="C109" s="737">
        <f>'Аксессуары (2)'!C109*1.3*($K$2/100+1)</f>
        <v>86.201114999999987</v>
      </c>
      <c r="D109" s="737">
        <f>'Аксессуары (2)'!D109*1.3*($K$2/100+1)</f>
        <v>94.821226499999995</v>
      </c>
      <c r="E109" s="737">
        <f>'Аксессуары (2)'!E109*1.6*($K$2/100+1)</f>
        <v>127.312416</v>
      </c>
      <c r="F109" s="737">
        <f>'Аксессуары (2)'!F109*1.6*($K$2/100+1)</f>
        <v>140.04365759999999</v>
      </c>
      <c r="G109" s="737">
        <f>'Аксессуары (2)'!G109*1.6*($K$2/100+1)</f>
        <v>152.77489919999999</v>
      </c>
      <c r="H109" s="738">
        <f>'Аксессуары (2)'!H109*1.8*($K$2/100+1)</f>
        <v>238.71078</v>
      </c>
      <c r="I109" s="738">
        <f>'Аксессуары (2)'!J109*1.48*($K$2/100+1)</f>
        <v>294.40996199999995</v>
      </c>
      <c r="J109" s="739">
        <f>'Аксессуары (2)'!J109*1.8*($K$2/100+1)</f>
        <v>358.06616999999994</v>
      </c>
    </row>
    <row r="110" spans="1:10" ht="14.95" customHeight="1">
      <c r="A110" s="414" t="s">
        <v>3173</v>
      </c>
      <c r="B110" s="737">
        <f>'Аксессуары (2)'!B110*1.3*($K$2/100+1)</f>
        <v>86.891805000000005</v>
      </c>
      <c r="C110" s="737">
        <f>'Аксессуары (2)'!C110*1.3*($K$2/100+1)</f>
        <v>96.546449999999993</v>
      </c>
      <c r="D110" s="737">
        <f>'Аксессуары (2)'!D110*1.3*($K$2/100+1)</f>
        <v>106.201095</v>
      </c>
      <c r="E110" s="737">
        <f>'Аксессуары (2)'!E110*1.6*($K$2/100+1)</f>
        <v>142.59167999999997</v>
      </c>
      <c r="F110" s="737">
        <f>'Аксессуары (2)'!F110*1.6*($K$2/100+1)</f>
        <v>156.85084800000001</v>
      </c>
      <c r="G110" s="737">
        <f>'Аксессуары (2)'!G110*1.6*($K$2/100+1)</f>
        <v>171.11001599999997</v>
      </c>
      <c r="H110" s="738">
        <f>'Аксессуары (2)'!H110*1.8*($K$2/100+1)</f>
        <v>267.35939999999999</v>
      </c>
      <c r="I110" s="738">
        <f>'Аксессуары (2)'!J110*1.48*($K$2/100+1)</f>
        <v>329.74326000000002</v>
      </c>
      <c r="J110" s="739">
        <f>'Аксессуары (2)'!J110*1.8*($K$2/100+1)</f>
        <v>401.03909999999996</v>
      </c>
    </row>
    <row r="111" spans="1:10" ht="14.95" customHeight="1">
      <c r="A111" s="414" t="s">
        <v>3174</v>
      </c>
      <c r="B111" s="737">
        <f>'Аксессуары (2)'!B111*1.3*($K$2/100+1)</f>
        <v>99.716116499999998</v>
      </c>
      <c r="C111" s="737">
        <f>'Аксессуары (2)'!C111*1.3*($K$2/100+1)</f>
        <v>110.79568499999999</v>
      </c>
      <c r="D111" s="737">
        <f>'Аксессуары (2)'!D111*1.3*($K$2/100+1)</f>
        <v>121.87525350000001</v>
      </c>
      <c r="E111" s="737">
        <f>'Аксессуары (2)'!E111*1.6*($K$2/100+1)</f>
        <v>163.63670399999998</v>
      </c>
      <c r="F111" s="737">
        <f>'Аксессуары (2)'!F111*1.6*($K$2/100+1)</f>
        <v>180.0003744</v>
      </c>
      <c r="G111" s="737">
        <f>'Аксессуары (2)'!G111*1.6*($K$2/100+1)</f>
        <v>196.36404479999999</v>
      </c>
      <c r="H111" s="738">
        <f>'Аксессуары (2)'!H111*1.8*($K$2/100+1)</f>
        <v>306.81881999999996</v>
      </c>
      <c r="I111" s="738">
        <f>'Аксессуары (2)'!J111*1.48*($K$2/100+1)</f>
        <v>378.40987799999999</v>
      </c>
      <c r="J111" s="739">
        <f>'Аксессуары (2)'!J111*1.8*($K$2/100+1)</f>
        <v>460.22822999999994</v>
      </c>
    </row>
    <row r="112" spans="1:10" ht="14.95" customHeight="1">
      <c r="A112" s="414" t="s">
        <v>3175</v>
      </c>
      <c r="B112" s="737">
        <f>'Аксессуары (2)'!B112*1.3*($K$2/100+1)</f>
        <v>100.59449400000001</v>
      </c>
      <c r="C112" s="737">
        <f>'Аксессуары (2)'!C112*1.3*($K$2/100+1)</f>
        <v>111.77166000000001</v>
      </c>
      <c r="D112" s="737">
        <f>'Аксессуары (2)'!D112*1.3*($K$2/100+1)</f>
        <v>122.94882600000003</v>
      </c>
      <c r="E112" s="737">
        <f>'Аксессуары (2)'!E112*1.6*($K$2/100+1)</f>
        <v>165.07814400000001</v>
      </c>
      <c r="F112" s="737">
        <f>'Аксессуары (2)'!F112*1.6*($K$2/100+1)</f>
        <v>181.58595840000001</v>
      </c>
      <c r="G112" s="737">
        <f>'Аксессуары (2)'!G112*1.6*($K$2/100+1)</f>
        <v>198.09377280000001</v>
      </c>
      <c r="H112" s="738">
        <f>'Аксессуары (2)'!H112*1.8*($K$2/100+1)</f>
        <v>309.52152000000001</v>
      </c>
      <c r="I112" s="738">
        <f>'Аксессуары (2)'!J112*1.48*($K$2/100+1)</f>
        <v>381.74320799999998</v>
      </c>
      <c r="J112" s="739">
        <f>'Аксессуары (2)'!J112*1.8*($K$2/100+1)</f>
        <v>464.28228000000007</v>
      </c>
    </row>
    <row r="113" spans="1:10" ht="14.95" customHeight="1">
      <c r="A113" s="414" t="s">
        <v>3176</v>
      </c>
      <c r="B113" s="737">
        <f>'Аксессуары (2)'!B113*1.3*($K$2/100+1)</f>
        <v>137.83770000000001</v>
      </c>
      <c r="C113" s="737">
        <f>'Аксессуары (2)'!C113*1.3*($K$2/100+1)</f>
        <v>153.15299999999999</v>
      </c>
      <c r="D113" s="737">
        <f>'Аксессуары (2)'!D113*1.3*($K$2/100+1)</f>
        <v>168.46830000000003</v>
      </c>
      <c r="E113" s="737">
        <f>'Аксессуары (2)'!E113*1.6*($K$2/100+1)</f>
        <v>226.19520000000003</v>
      </c>
      <c r="F113" s="737">
        <f>'Аксессуары (2)'!F113*1.6*($K$2/100+1)</f>
        <v>248.81472000000002</v>
      </c>
      <c r="G113" s="737">
        <f>'Аксессуары (2)'!G113*1.6*($K$2/100+1)</f>
        <v>271.43423999999999</v>
      </c>
      <c r="H113" s="738">
        <f>'Аксессуары (2)'!H113*1.8*($K$2/100+1)</f>
        <v>424.11599999999999</v>
      </c>
      <c r="I113" s="738">
        <f>'Аксессуары (2)'!J113*1.48*($K$2/100+1)</f>
        <v>523.07640000000004</v>
      </c>
      <c r="J113" s="739">
        <f>'Аксессуары (2)'!J113*1.8*($K$2/100+1)</f>
        <v>636.17400000000009</v>
      </c>
    </row>
    <row r="114" spans="1:10" ht="14.95" customHeight="1">
      <c r="A114" s="414" t="s">
        <v>3177</v>
      </c>
      <c r="B114" s="737">
        <f>'Аксессуары (2)'!B114*1.3*($K$2/100+1)</f>
        <v>165.59442899999999</v>
      </c>
      <c r="C114" s="737">
        <f>'Аксессуары (2)'!C114*1.3*($K$2/100+1)</f>
        <v>183.99380999999997</v>
      </c>
      <c r="D114" s="737">
        <f>'Аксессуары (2)'!D114*1.3*($K$2/100+1)</f>
        <v>202.393191</v>
      </c>
      <c r="E114" s="737">
        <f>'Аксессуары (2)'!E114*1.6*($K$2/100+1)</f>
        <v>271.74470399999996</v>
      </c>
      <c r="F114" s="737">
        <f>'Аксессуары (2)'!F114*1.6*($K$2/100+1)</f>
        <v>298.91917439999997</v>
      </c>
      <c r="G114" s="737">
        <f>'Аксессуары (2)'!G114*1.6*($K$2/100+1)</f>
        <v>326.09364479999994</v>
      </c>
      <c r="H114" s="738">
        <f>'Аксессуары (2)'!H114*1.8*($K$2/100+1)</f>
        <v>509.52131999999995</v>
      </c>
      <c r="I114" s="738">
        <f>'Аксессуары (2)'!J114*1.48*($K$2/100+1)</f>
        <v>628.40962799999988</v>
      </c>
      <c r="J114" s="739">
        <f>'Аксессуары (2)'!J114*1.8*($K$2/100+1)</f>
        <v>764.28197999999986</v>
      </c>
    </row>
    <row r="115" spans="1:10" ht="14.95" customHeight="1">
      <c r="A115" s="414" t="s">
        <v>3178</v>
      </c>
      <c r="B115" s="737">
        <f>'Аксессуары (2)'!B115*1.3*($K$2/100+1)</f>
        <v>226.02680099999998</v>
      </c>
      <c r="C115" s="737">
        <f>'Аксессуары (2)'!C115*1.3*($K$2/100+1)</f>
        <v>251.14089000000001</v>
      </c>
      <c r="D115" s="737">
        <f>'Аксессуары (2)'!D115*1.3*($K$2/100+1)</f>
        <v>276.25497899999999</v>
      </c>
      <c r="E115" s="737">
        <f>'Аксессуары (2)'!E115*1.6*($K$2/100+1)</f>
        <v>370.91577599999994</v>
      </c>
      <c r="F115" s="737">
        <f>'Аксессуары (2)'!F115*1.6*($K$2/100+1)</f>
        <v>408.00735359999999</v>
      </c>
      <c r="G115" s="737">
        <f>'Аксессуары (2)'!G115*1.6*($K$2/100+1)</f>
        <v>445.09893119999992</v>
      </c>
      <c r="H115" s="738">
        <f>'Аксессуары (2)'!H115*1.8*($K$2/100+1)</f>
        <v>695.46708000000001</v>
      </c>
      <c r="I115" s="738">
        <f>'Аксессуары (2)'!J115*1.48*($K$2/100+1)</f>
        <v>857.74273199999993</v>
      </c>
      <c r="J115" s="739">
        <f>'Аксессуары (2)'!J115*1.8*($K$2/100+1)</f>
        <v>1043.2006199999998</v>
      </c>
    </row>
    <row r="116" spans="1:10" ht="14.95" customHeight="1" thickBot="1">
      <c r="A116" s="415" t="s">
        <v>3179</v>
      </c>
      <c r="B116" s="737">
        <f>'Аксессуары (2)'!B116*1.3*($K$2/100+1)</f>
        <v>288.21592800000002</v>
      </c>
      <c r="C116" s="737">
        <f>'Аксессуары (2)'!C116*1.3*($K$2/100+1)</f>
        <v>320.23991999999998</v>
      </c>
      <c r="D116" s="737">
        <f>'Аксессуары (2)'!D116*1.3*($K$2/100+1)</f>
        <v>352.263912</v>
      </c>
      <c r="E116" s="737">
        <f>'Аксессуары (2)'!E116*1.6*($K$2/100+1)</f>
        <v>472.96972799999992</v>
      </c>
      <c r="F116" s="737">
        <f>'Аксессуары (2)'!F116*1.6*($K$2/100+1)</f>
        <v>520.26670080000008</v>
      </c>
      <c r="G116" s="737">
        <f>'Аксессуары (2)'!G116*1.6*($K$2/100+1)</f>
        <v>567.5636735999999</v>
      </c>
      <c r="H116" s="738">
        <f>'Аксессуары (2)'!H116*1.8*($K$2/100+1)</f>
        <v>886.81823999999995</v>
      </c>
      <c r="I116" s="738">
        <f>'Аксессуары (2)'!J116*1.48*($K$2/100+1)</f>
        <v>1093.7424959999998</v>
      </c>
      <c r="J116" s="739">
        <f>'Аксессуары (2)'!J116*1.8*($K$2/100+1)</f>
        <v>1330.2273599999999</v>
      </c>
    </row>
    <row r="117" spans="1:10" s="254" customFormat="1" ht="14.95" customHeight="1" thickBot="1">
      <c r="A117" s="615" t="s">
        <v>3009</v>
      </c>
      <c r="B117" s="842"/>
      <c r="C117" s="843"/>
      <c r="D117" s="843"/>
      <c r="E117" s="843"/>
      <c r="F117" s="843"/>
      <c r="G117" s="843"/>
      <c r="H117" s="843"/>
      <c r="I117" s="843"/>
      <c r="J117" s="844"/>
    </row>
    <row r="118" spans="1:10" ht="14.95" customHeight="1">
      <c r="A118" s="423" t="s">
        <v>3010</v>
      </c>
      <c r="B118" s="737">
        <f>'Аксессуары (2)'!B118*1.3*($K$2/100+1)</f>
        <v>249.22754999999998</v>
      </c>
      <c r="C118" s="737">
        <f>'Аксессуары (2)'!C118*1.3*($K$2/100+1)</f>
        <v>276.91950000000003</v>
      </c>
      <c r="D118" s="737">
        <f>'Аксессуары (2)'!D118*1.3*($K$2/100+1)</f>
        <v>304.61145000000005</v>
      </c>
      <c r="E118" s="737">
        <f>'Аксессуары (2)'!E118*1.6*($K$2/100+1)</f>
        <v>408.98879999999997</v>
      </c>
      <c r="F118" s="737">
        <f>'Аксессуары (2)'!F118*1.6*($K$2/100+1)</f>
        <v>449.88767999999999</v>
      </c>
      <c r="G118" s="737">
        <f>'Аксессуары (2)'!G118*1.6*($K$2/100+1)</f>
        <v>490.78655999999995</v>
      </c>
      <c r="H118" s="738">
        <f>'Аксессуары (2)'!H118*1.8*($K$2/100+1)</f>
        <v>766.85399999999993</v>
      </c>
      <c r="I118" s="738">
        <f>'Аксессуары (2)'!J118*1.5*($K$2/100+1)</f>
        <v>958.56749999999988</v>
      </c>
      <c r="J118" s="739">
        <f>'Аксессуары (2)'!J118*1.8*($K$2/100+1)</f>
        <v>1150.2809999999999</v>
      </c>
    </row>
    <row r="119" spans="1:10" ht="14.95" customHeight="1">
      <c r="A119" s="414" t="s">
        <v>3011</v>
      </c>
      <c r="B119" s="737">
        <f>'Аксессуары (2)'!B119*1.3*($K$2/100+1)</f>
        <v>255.72754350000002</v>
      </c>
      <c r="C119" s="737">
        <f>'Аксессуары (2)'!C119*1.3*($K$2/100+1)</f>
        <v>284.14171500000003</v>
      </c>
      <c r="D119" s="737">
        <f>'Аксессуары (2)'!D119*1.3*($K$2/100+1)</f>
        <v>312.55588650000004</v>
      </c>
      <c r="E119" s="737">
        <f>'Аксессуары (2)'!E119*1.6*($K$2/100+1)</f>
        <v>419.65545600000007</v>
      </c>
      <c r="F119" s="737">
        <f>'Аксессуары (2)'!F119*1.6*($K$2/100+1)</f>
        <v>461.62100160000011</v>
      </c>
      <c r="G119" s="737">
        <f>'Аксессуары (2)'!G119*1.6*($K$2/100+1)</f>
        <v>503.58654720000004</v>
      </c>
      <c r="H119" s="738">
        <f>'Аксессуары (2)'!H119*1.8*($K$2/100+1)</f>
        <v>786.85397999999998</v>
      </c>
      <c r="I119" s="738">
        <f>'Аксессуары (2)'!J119*1.5*($K$2/100+1)</f>
        <v>983.56747500000006</v>
      </c>
      <c r="J119" s="739">
        <f>'Аксессуары (2)'!J119*1.8*($K$2/100+1)</f>
        <v>1180.2809700000003</v>
      </c>
    </row>
    <row r="120" spans="1:10" ht="14.95" customHeight="1">
      <c r="A120" s="414" t="s">
        <v>3012</v>
      </c>
      <c r="B120" s="737">
        <f>'Аксессуары (2)'!B120*1.3*($K$2/100+1)</f>
        <v>260.99780850000002</v>
      </c>
      <c r="C120" s="737">
        <f>'Аксессуары (2)'!C120*1.3*($K$2/100+1)</f>
        <v>289.99756500000001</v>
      </c>
      <c r="D120" s="737">
        <f>'Аксессуары (2)'!D120*1.3*($K$2/100+1)</f>
        <v>318.9973215</v>
      </c>
      <c r="E120" s="737">
        <f>'Аксессуары (2)'!E120*1.6*($K$2/100+1)</f>
        <v>428.30409599999996</v>
      </c>
      <c r="F120" s="737">
        <f>'Аксессуары (2)'!F120*1.6*($K$2/100+1)</f>
        <v>471.13450560000001</v>
      </c>
      <c r="G120" s="737">
        <f>'Аксессуары (2)'!G120*1.6*($K$2/100+1)</f>
        <v>513.96491520000006</v>
      </c>
      <c r="H120" s="738">
        <f>'Аксессуары (2)'!H120*1.8*($K$2/100+1)</f>
        <v>803.07017999999994</v>
      </c>
      <c r="I120" s="738">
        <f>'Аксессуары (2)'!J120*1.5*($K$2/100+1)</f>
        <v>1003.8377250000001</v>
      </c>
      <c r="J120" s="739">
        <f>'Аксессуары (2)'!J120*1.8*($K$2/100+1)</f>
        <v>1204.60527</v>
      </c>
    </row>
    <row r="121" spans="1:10" ht="14.95" customHeight="1">
      <c r="A121" s="414" t="s">
        <v>3013</v>
      </c>
      <c r="B121" s="737">
        <f>'Аксессуары (2)'!B121*1.3*($K$2/100+1)</f>
        <v>252.21403349999997</v>
      </c>
      <c r="C121" s="737">
        <f>'Аксессуары (2)'!C121*1.3*($K$2/100+1)</f>
        <v>280.23781499999996</v>
      </c>
      <c r="D121" s="737">
        <f>'Аксессуары (2)'!D121*1.3*($K$2/100+1)</f>
        <v>308.26159650000005</v>
      </c>
      <c r="E121" s="737">
        <f>'Аксессуары (2)'!E121*1.6*($K$2/100+1)</f>
        <v>413.88969599999996</v>
      </c>
      <c r="F121" s="737">
        <f>'Аксессуары (2)'!F121*1.6*($K$2/100+1)</f>
        <v>455.27866560000001</v>
      </c>
      <c r="G121" s="737">
        <f>'Аксессуары (2)'!G121*1.6*($K$2/100+1)</f>
        <v>496.66763520000001</v>
      </c>
      <c r="H121" s="738">
        <f>'Аксессуары (2)'!H121*1.8*($K$2/100+1)</f>
        <v>776.04317999999989</v>
      </c>
      <c r="I121" s="738">
        <f>'Аксессуары (2)'!J121*1.5*($K$2/100+1)</f>
        <v>970.05397499999981</v>
      </c>
      <c r="J121" s="739">
        <f>'Аксессуары (2)'!J121*1.8*($K$2/100+1)</f>
        <v>1164.06477</v>
      </c>
    </row>
    <row r="122" spans="1:10" ht="14.95" customHeight="1">
      <c r="A122" s="414" t="s">
        <v>3014</v>
      </c>
      <c r="B122" s="737">
        <f>'Аксессуары (2)'!B122*1.3*($K$2/100+1)</f>
        <v>264.33564299999995</v>
      </c>
      <c r="C122" s="737">
        <f>'Аксессуары (2)'!C122*1.3*($K$2/100+1)</f>
        <v>293.70626999999996</v>
      </c>
      <c r="D122" s="737">
        <f>'Аксессуары (2)'!D122*1.3*($K$2/100+1)</f>
        <v>323.07689699999997</v>
      </c>
      <c r="E122" s="737">
        <f>'Аксессуары (2)'!E122*1.6*($K$2/100+1)</f>
        <v>433.78156799999999</v>
      </c>
      <c r="F122" s="737">
        <f>'Аксессуары (2)'!F122*1.6*($K$2/100+1)</f>
        <v>477.15972479999994</v>
      </c>
      <c r="G122" s="737">
        <f>'Аксессуары (2)'!G122*1.6*($K$2/100+1)</f>
        <v>520.53788159999988</v>
      </c>
      <c r="H122" s="738">
        <f>'Аксессуары (2)'!H122*1.8*($K$2/100+1)</f>
        <v>813.34043999999983</v>
      </c>
      <c r="I122" s="738">
        <f>'Аксессуары (2)'!J122*1.5*($K$2/100+1)</f>
        <v>1016.6755499999998</v>
      </c>
      <c r="J122" s="739">
        <f>'Аксессуары (2)'!J122*1.8*($K$2/100+1)</f>
        <v>1220.0106599999999</v>
      </c>
    </row>
    <row r="123" spans="1:10" ht="14.95" customHeight="1">
      <c r="A123" s="414" t="s">
        <v>3015</v>
      </c>
      <c r="B123" s="737">
        <f>'Аксессуары (2)'!B123*1.3*($K$2/100+1)</f>
        <v>272.94374249999998</v>
      </c>
      <c r="C123" s="737">
        <f>'Аксессуары (2)'!C123*1.3*($K$2/100+1)</f>
        <v>303.270825</v>
      </c>
      <c r="D123" s="737">
        <f>'Аксессуары (2)'!D123*1.3*($K$2/100+1)</f>
        <v>333.59790750000002</v>
      </c>
      <c r="E123" s="737">
        <f>'Аксессуары (2)'!E123*1.6*($K$2/100+1)</f>
        <v>447.90767999999991</v>
      </c>
      <c r="F123" s="737">
        <f>'Аксессуары (2)'!F123*1.6*($K$2/100+1)</f>
        <v>492.69844800000004</v>
      </c>
      <c r="G123" s="737">
        <f>'Аксессуары (2)'!G123*1.6*($K$2/100+1)</f>
        <v>537.48921599999994</v>
      </c>
      <c r="H123" s="738">
        <f>'Аксессуары (2)'!H123*1.8*($K$2/100+1)</f>
        <v>839.82689999999991</v>
      </c>
      <c r="I123" s="738">
        <f>'Аксессуары (2)'!J123*1.5*($K$2/100+1)</f>
        <v>1049.7836249999998</v>
      </c>
      <c r="J123" s="739">
        <f>'Аксессуары (2)'!J123*1.8*($K$2/100+1)</f>
        <v>1259.7403499999998</v>
      </c>
    </row>
    <row r="124" spans="1:10" ht="14.95" customHeight="1">
      <c r="A124" s="414" t="s">
        <v>3016</v>
      </c>
      <c r="B124" s="737">
        <f>'Аксессуары (2)'!B124*1.3*($K$2/100+1)</f>
        <v>275.22752400000007</v>
      </c>
      <c r="C124" s="737">
        <f>'Аксессуары (2)'!C124*1.3*($K$2/100+1)</f>
        <v>305.80836000000005</v>
      </c>
      <c r="D124" s="737">
        <f>'Аксессуары (2)'!D124*1.3*($K$2/100+1)</f>
        <v>336.38919600000008</v>
      </c>
      <c r="E124" s="737">
        <f>'Аксессуары (2)'!E124*1.6*($K$2/100+1)</f>
        <v>451.65542400000004</v>
      </c>
      <c r="F124" s="737">
        <f>'Аксессуары (2)'!F124*1.6*($K$2/100+1)</f>
        <v>496.82096640000003</v>
      </c>
      <c r="G124" s="737">
        <f>'Аксессуары (2)'!G124*1.6*($K$2/100+1)</f>
        <v>541.98650880000002</v>
      </c>
      <c r="H124" s="738">
        <f>'Аксессуары (2)'!H124*1.8*($K$2/100+1)</f>
        <v>846.85392000000002</v>
      </c>
      <c r="I124" s="738">
        <f>'Аксессуары (2)'!J124*1.5*($K$2/100+1)</f>
        <v>1058.5673999999999</v>
      </c>
      <c r="J124" s="739">
        <f>'Аксессуары (2)'!J124*1.8*($K$2/100+1)</f>
        <v>1270.2808800000003</v>
      </c>
    </row>
    <row r="125" spans="1:10" ht="14.95" customHeight="1">
      <c r="A125" s="414" t="s">
        <v>3017</v>
      </c>
      <c r="B125" s="737">
        <f>'Аксессуары (2)'!B125*1.3*($K$2/100+1)</f>
        <v>285.76805400000001</v>
      </c>
      <c r="C125" s="737">
        <f>'Аксессуары (2)'!C125*1.3*($K$2/100+1)</f>
        <v>317.52005999999994</v>
      </c>
      <c r="D125" s="737">
        <f>'Аксессуары (2)'!D125*1.3*($K$2/100+1)</f>
        <v>349.272066</v>
      </c>
      <c r="E125" s="737">
        <f>'Аксессуары (2)'!E125*1.6*($K$2/100+1)</f>
        <v>468.95270399999993</v>
      </c>
      <c r="F125" s="737">
        <f>'Аксессуары (2)'!F125*1.6*($K$2/100+1)</f>
        <v>515.8479744</v>
      </c>
      <c r="G125" s="737">
        <f>'Аксессуары (2)'!G125*1.6*($K$2/100+1)</f>
        <v>562.74324479999984</v>
      </c>
      <c r="H125" s="738">
        <f>'Аксессуары (2)'!H125*1.8*($K$2/100+1)</f>
        <v>879.28631999999993</v>
      </c>
      <c r="I125" s="738">
        <f>'Аксессуары (2)'!J125*1.5*($K$2/100+1)</f>
        <v>1099.1079</v>
      </c>
      <c r="J125" s="739">
        <f>'Аксессуары (2)'!J125*1.8*($K$2/100+1)</f>
        <v>1318.9294799999998</v>
      </c>
    </row>
    <row r="126" spans="1:10" ht="14.95" customHeight="1">
      <c r="A126" s="414" t="s">
        <v>3018</v>
      </c>
      <c r="B126" s="737">
        <f>'Аксессуары (2)'!B126*1.3*($K$2/100+1)</f>
        <v>302.28155099999998</v>
      </c>
      <c r="C126" s="737">
        <f>'Аксессуары (2)'!C126*1.3*($K$2/100+1)</f>
        <v>335.86838999999998</v>
      </c>
      <c r="D126" s="737">
        <f>'Аксессуары (2)'!D126*1.3*($K$2/100+1)</f>
        <v>369.45522900000003</v>
      </c>
      <c r="E126" s="737">
        <f>'Аксессуары (2)'!E126*1.6*($K$2/100+1)</f>
        <v>496.0517759999999</v>
      </c>
      <c r="F126" s="737">
        <f>'Аксессуары (2)'!F126*1.6*($K$2/100+1)</f>
        <v>545.65695359999995</v>
      </c>
      <c r="G126" s="737">
        <f>'Аксессуары (2)'!G126*1.6*($K$2/100+1)</f>
        <v>595.2621312</v>
      </c>
      <c r="H126" s="738">
        <f>'Аксессуары (2)'!H126*1.8*($K$2/100+1)</f>
        <v>930.09708000000001</v>
      </c>
      <c r="I126" s="738">
        <f>'Аксессуары (2)'!J126*1.5*($K$2/100+1)</f>
        <v>1162.6213499999999</v>
      </c>
      <c r="J126" s="739">
        <f>'Аксессуары (2)'!J126*1.8*($K$2/100+1)</f>
        <v>1395.1456199999998</v>
      </c>
    </row>
    <row r="127" spans="1:10" ht="14.95" customHeight="1">
      <c r="A127" s="414" t="s">
        <v>3019</v>
      </c>
      <c r="B127" s="737">
        <f>'Аксессуары (2)'!B127*1.3*($K$2/100+1)</f>
        <v>274.17347100000001</v>
      </c>
      <c r="C127" s="737">
        <f>'Аксессуары (2)'!C127*1.3*($K$2/100+1)</f>
        <v>304.63718999999998</v>
      </c>
      <c r="D127" s="737">
        <f>'Аксессуары (2)'!D127*1.3*($K$2/100+1)</f>
        <v>335.100909</v>
      </c>
      <c r="E127" s="737">
        <f>'Аксессуары (2)'!E127*1.6*($K$2/100+1)</f>
        <v>449.92569599999996</v>
      </c>
      <c r="F127" s="737">
        <f>'Аксессуары (2)'!F127*1.6*($K$2/100+1)</f>
        <v>494.91826559999987</v>
      </c>
      <c r="G127" s="737">
        <f>'Аксессуары (2)'!G127*1.6*($K$2/100+1)</f>
        <v>539.91083519999984</v>
      </c>
      <c r="H127" s="738">
        <f>'Аксессуары (2)'!H127*1.8*($K$2/100+1)</f>
        <v>843.61068</v>
      </c>
      <c r="I127" s="738">
        <f>'Аксессуары (2)'!J127*1.5*($K$2/100+1)</f>
        <v>1054.5133499999999</v>
      </c>
      <c r="J127" s="739">
        <f>'Аксессуары (2)'!J127*1.8*($K$2/100+1)</f>
        <v>1265.4160199999999</v>
      </c>
    </row>
    <row r="128" spans="1:10" ht="14.95" customHeight="1">
      <c r="A128" s="414" t="s">
        <v>3020</v>
      </c>
      <c r="B128" s="737">
        <f>'Аксессуары (2)'!B128*1.3*($K$2/100+1)</f>
        <v>296.13290849999998</v>
      </c>
      <c r="C128" s="737">
        <f>'Аксессуары (2)'!C128*1.3*($K$2/100+1)</f>
        <v>329.036565</v>
      </c>
      <c r="D128" s="737">
        <f>'Аксессуары (2)'!D128*1.3*($K$2/100+1)</f>
        <v>361.94022150000001</v>
      </c>
      <c r="E128" s="737">
        <f>'Аксессуары (2)'!E128*1.6*($K$2/100+1)</f>
        <v>485.9616959999999</v>
      </c>
      <c r="F128" s="737">
        <f>'Аксессуары (2)'!F128*1.6*($K$2/100+1)</f>
        <v>534.55786560000013</v>
      </c>
      <c r="G128" s="737">
        <f>'Аксессуары (2)'!G128*1.6*($K$2/100+1)</f>
        <v>583.15403519999995</v>
      </c>
      <c r="H128" s="738">
        <f>'Аксессуары (2)'!H128*1.8*($K$2/100+1)</f>
        <v>911.17817999999988</v>
      </c>
      <c r="I128" s="738">
        <f>'Аксессуары (2)'!J128*1.5*($K$2/100+1)</f>
        <v>1138.9727249999999</v>
      </c>
      <c r="J128" s="739">
        <f>'Аксессуары (2)'!J128*1.8*($K$2/100+1)</f>
        <v>1366.7672699999998</v>
      </c>
    </row>
    <row r="129" spans="1:10" ht="14.95" customHeight="1">
      <c r="A129" s="414" t="s">
        <v>3021</v>
      </c>
      <c r="B129" s="737">
        <f>'Аксессуары (2)'!B129*1.3*($K$2/100+1)</f>
        <v>313.87613399999998</v>
      </c>
      <c r="C129" s="737">
        <f>'Аксессуары (2)'!C129*1.3*($K$2/100+1)</f>
        <v>348.75125999999995</v>
      </c>
      <c r="D129" s="737">
        <f>'Аксессуары (2)'!D129*1.3*($K$2/100+1)</f>
        <v>383.62638600000002</v>
      </c>
      <c r="E129" s="737">
        <f>'Аксессуары (2)'!E129*1.6*($K$2/100+1)</f>
        <v>515.07878399999993</v>
      </c>
      <c r="F129" s="737">
        <f>'Аксессуары (2)'!F129*1.6*($K$2/100+1)</f>
        <v>566.58666240000002</v>
      </c>
      <c r="G129" s="737">
        <f>'Аксессуары (2)'!G129*1.6*($K$2/100+1)</f>
        <v>618.0945408</v>
      </c>
      <c r="H129" s="738">
        <f>'Аксессуары (2)'!H129*1.8*($K$2/100+1)</f>
        <v>965.77271999999982</v>
      </c>
      <c r="I129" s="738">
        <f>'Аксессуары (2)'!J129*1.5*($K$2/100+1)</f>
        <v>1207.2158999999999</v>
      </c>
      <c r="J129" s="739">
        <f>'Аксессуары (2)'!J129*1.8*($K$2/100+1)</f>
        <v>1448.6590800000001</v>
      </c>
    </row>
    <row r="130" spans="1:10" ht="14.95" customHeight="1">
      <c r="A130" s="414" t="s">
        <v>3022</v>
      </c>
      <c r="B130" s="737">
        <f>'Аксессуары (2)'!B130*1.3*($K$2/100+1)</f>
        <v>365.876082</v>
      </c>
      <c r="C130" s="737">
        <f>'Аксессуары (2)'!C130*1.3*($K$2/100+1)</f>
        <v>406.52897999999999</v>
      </c>
      <c r="D130" s="737">
        <f>'Аксессуары (2)'!D130*1.3*($K$2/100+1)</f>
        <v>447.18187800000004</v>
      </c>
      <c r="E130" s="737">
        <f>'Аксессуары (2)'!E130*1.6*($K$2/100+1)</f>
        <v>600.41203199999995</v>
      </c>
      <c r="F130" s="737">
        <f>'Аксессуары (2)'!F130*1.6*($K$2/100+1)</f>
        <v>660.45323519999999</v>
      </c>
      <c r="G130" s="737">
        <f>'Аксессуары (2)'!G130*1.6*($K$2/100+1)</f>
        <v>720.49443839999992</v>
      </c>
      <c r="H130" s="738">
        <f>'Аксессуары (2)'!H130*1.8*($K$2/100+1)</f>
        <v>1125.7725600000001</v>
      </c>
      <c r="I130" s="738">
        <f>'Аксессуары (2)'!J130*1.5*($K$2/100+1)</f>
        <v>1407.2156999999997</v>
      </c>
      <c r="J130" s="739">
        <f>'Аксессуары (2)'!J130*1.8*($K$2/100+1)</f>
        <v>1688.6588400000001</v>
      </c>
    </row>
    <row r="131" spans="1:10" ht="14.95" customHeight="1">
      <c r="A131" s="414" t="s">
        <v>3023</v>
      </c>
      <c r="B131" s="737">
        <f>'Аксессуары (2)'!B131*1.3*($K$2/100+1)</f>
        <v>282.60589500000003</v>
      </c>
      <c r="C131" s="737">
        <f>'Аксессуары (2)'!C131*1.3*($K$2/100+1)</f>
        <v>314.00654999999995</v>
      </c>
      <c r="D131" s="737">
        <f>'Аксессуары (2)'!D131*1.3*($K$2/100+1)</f>
        <v>345.40720499999998</v>
      </c>
      <c r="E131" s="737">
        <f>'Аксессуары (2)'!E131*1.6*($K$2/100+1)</f>
        <v>463.76351999999991</v>
      </c>
      <c r="F131" s="737">
        <f>'Аксессуары (2)'!F131*1.6*($K$2/100+1)</f>
        <v>510.13987199999997</v>
      </c>
      <c r="G131" s="737">
        <f>'Аксессуары (2)'!G131*1.6*($K$2/100+1)</f>
        <v>556.51622399999997</v>
      </c>
      <c r="H131" s="738">
        <f>'Аксессуары (2)'!H131*1.8*($K$2/100+1)</f>
        <v>869.5566</v>
      </c>
      <c r="I131" s="738">
        <f>'Аксессуары (2)'!J131*1.5*($K$2/100+1)</f>
        <v>1086.9457499999996</v>
      </c>
      <c r="J131" s="739">
        <f>'Аксессуары (2)'!J131*1.8*($K$2/100+1)</f>
        <v>1304.3348999999998</v>
      </c>
    </row>
    <row r="132" spans="1:10" ht="14.95" customHeight="1">
      <c r="A132" s="414" t="s">
        <v>3024</v>
      </c>
      <c r="B132" s="737">
        <f>'Аксессуары (2)'!B132*1.3*($K$2/100+1)</f>
        <v>289.98426599999999</v>
      </c>
      <c r="C132" s="737">
        <f>'Аксессуары (2)'!C132*1.3*($K$2/100+1)</f>
        <v>322.20473999999996</v>
      </c>
      <c r="D132" s="737">
        <f>'Аксессуары (2)'!D132*1.3*($K$2/100+1)</f>
        <v>354.42521400000004</v>
      </c>
      <c r="E132" s="737">
        <f>'Аксессуары (2)'!E132*1.6*($K$2/100+1)</f>
        <v>475.87161599999996</v>
      </c>
      <c r="F132" s="737">
        <f>'Аксессуары (2)'!F132*1.6*($K$2/100+1)</f>
        <v>523.45877759999996</v>
      </c>
      <c r="G132" s="737">
        <f>'Аксессуары (2)'!G132*1.6*($K$2/100+1)</f>
        <v>571.04593919999991</v>
      </c>
      <c r="H132" s="738">
        <f>'Аксессуары (2)'!H132*1.8*($K$2/100+1)</f>
        <v>892.25927999999988</v>
      </c>
      <c r="I132" s="738">
        <f>'Аксессуары (2)'!J132*1.5*($K$2/100+1)</f>
        <v>1115.3240999999998</v>
      </c>
      <c r="J132" s="739">
        <f>'Аксессуары (2)'!J132*1.8*($K$2/100+1)</f>
        <v>1338.3889199999999</v>
      </c>
    </row>
    <row r="133" spans="1:10" ht="14.95" customHeight="1">
      <c r="A133" s="414" t="s">
        <v>3025</v>
      </c>
      <c r="B133" s="737">
        <f>'Аксессуары (2)'!B133*1.3*($K$2/100+1)</f>
        <v>293.84912700000001</v>
      </c>
      <c r="C133" s="737">
        <f>'Аксессуары (2)'!C133*1.3*($K$2/100+1)</f>
        <v>326.49902999999995</v>
      </c>
      <c r="D133" s="737">
        <f>'Аксессуары (2)'!D133*1.3*($K$2/100+1)</f>
        <v>359.14893300000006</v>
      </c>
      <c r="E133" s="737">
        <f>'Аксессуары (2)'!E133*1.6*($K$2/100+1)</f>
        <v>482.21395199999995</v>
      </c>
      <c r="F133" s="737">
        <f>'Аксессуары (2)'!F133*1.6*($K$2/100+1)</f>
        <v>530.43534720000002</v>
      </c>
      <c r="G133" s="737">
        <f>'Аксессуары (2)'!G133*1.6*($K$2/100+1)</f>
        <v>578.6567424000001</v>
      </c>
      <c r="H133" s="738">
        <f>'Аксессуары (2)'!H133*1.8*($K$2/100+1)</f>
        <v>904.15116</v>
      </c>
      <c r="I133" s="738">
        <f>'Аксессуары (2)'!J133*1.5*($K$2/100+1)</f>
        <v>1130.18895</v>
      </c>
      <c r="J133" s="739">
        <f>'Аксессуары (2)'!J133*1.8*($K$2/100+1)</f>
        <v>1356.2267399999998</v>
      </c>
    </row>
    <row r="134" spans="1:10" ht="14.95" customHeight="1">
      <c r="A134" s="414" t="s">
        <v>3026</v>
      </c>
      <c r="B134" s="737">
        <f>'Аксессуары (2)'!B134*1.3*($K$2/100+1)</f>
        <v>306.49776300000002</v>
      </c>
      <c r="C134" s="737">
        <f>'Аксессуары (2)'!C134*1.3*($K$2/100+1)</f>
        <v>340.55306999999999</v>
      </c>
      <c r="D134" s="737">
        <f>'Аксессуары (2)'!D134*1.3*($K$2/100+1)</f>
        <v>374.60837700000002</v>
      </c>
      <c r="E134" s="737">
        <f>'Аксессуары (2)'!E134*1.6*($K$2/100+1)</f>
        <v>502.97068799999994</v>
      </c>
      <c r="F134" s="737">
        <f>'Аксессуары (2)'!F134*1.6*($K$2/100+1)</f>
        <v>553.26775680000003</v>
      </c>
      <c r="G134" s="737">
        <f>'Аксессуары (2)'!G134*1.6*($K$2/100+1)</f>
        <v>603.56482559999995</v>
      </c>
      <c r="H134" s="738">
        <f>'Аксессуары (2)'!H134*1.8*($K$2/100+1)</f>
        <v>943.07003999999995</v>
      </c>
      <c r="I134" s="738">
        <f>'Аксессуары (2)'!J134*1.5*($K$2/100+1)</f>
        <v>1178.83755</v>
      </c>
      <c r="J134" s="739">
        <f>'Аксессуары (2)'!J134*1.8*($K$2/100+1)</f>
        <v>1414.6050599999999</v>
      </c>
    </row>
    <row r="135" spans="1:10" ht="14.95" customHeight="1">
      <c r="A135" s="414" t="s">
        <v>3027</v>
      </c>
      <c r="B135" s="737">
        <f>'Аксессуары (2)'!B135*1.3*($K$2/100+1)</f>
        <v>325.64639249999999</v>
      </c>
      <c r="C135" s="737">
        <f>'Аксессуары (2)'!C135*1.3*($K$2/100+1)</f>
        <v>361.82932499999998</v>
      </c>
      <c r="D135" s="737">
        <f>'Аксессуары (2)'!D135*1.3*($K$2/100+1)</f>
        <v>398.01225750000003</v>
      </c>
      <c r="E135" s="737">
        <f>'Аксессуары (2)'!E135*1.6*($K$2/100+1)</f>
        <v>534.39408000000003</v>
      </c>
      <c r="F135" s="737">
        <f>'Аксессуары (2)'!F135*1.6*($K$2/100+1)</f>
        <v>587.8334880000001</v>
      </c>
      <c r="G135" s="737">
        <f>'Аксессуары (2)'!G135*1.6*($K$2/100+1)</f>
        <v>641.27289599999995</v>
      </c>
      <c r="H135" s="738">
        <f>'Аксессуары (2)'!H135*1.8*($K$2/100+1)</f>
        <v>1001.9889000000001</v>
      </c>
      <c r="I135" s="738">
        <f>'Аксессуары (2)'!J135*1.5*($K$2/100+1)</f>
        <v>1252.4861249999999</v>
      </c>
      <c r="J135" s="739">
        <f>'Аксессуары (2)'!J135*1.8*($K$2/100+1)</f>
        <v>1502.98335</v>
      </c>
    </row>
    <row r="136" spans="1:10" ht="14.95" customHeight="1">
      <c r="A136" s="414" t="s">
        <v>3028</v>
      </c>
      <c r="B136" s="737">
        <f>'Аксессуары (2)'!B136*1.3*($K$2/100+1)</f>
        <v>380.80849949999998</v>
      </c>
      <c r="C136" s="737">
        <f>'Аксессуары (2)'!C136*1.3*($K$2/100+1)</f>
        <v>423.12055499999991</v>
      </c>
      <c r="D136" s="737">
        <f>'Аксессуары (2)'!D136*1.3*($K$2/100+1)</f>
        <v>465.43261050000001</v>
      </c>
      <c r="E136" s="737">
        <f>'Аксессуары (2)'!E136*1.6*($K$2/100+1)</f>
        <v>624.91651200000001</v>
      </c>
      <c r="F136" s="737">
        <f>'Аксессуары (2)'!F136*1.6*($K$2/100+1)</f>
        <v>687.4081632000001</v>
      </c>
      <c r="G136" s="737">
        <f>'Аксессуары (2)'!G136*1.6*($K$2/100+1)</f>
        <v>749.89981439999997</v>
      </c>
      <c r="H136" s="738">
        <f>'Аксессуары (2)'!H136*1.8*($K$2/100+1)</f>
        <v>1171.7184599999998</v>
      </c>
      <c r="I136" s="738">
        <f>'Аксессуары (2)'!J136*1.5*($K$2/100+1)</f>
        <v>1464.6480749999996</v>
      </c>
      <c r="J136" s="739">
        <f>'Аксессуары (2)'!J136*1.8*($K$2/100+1)</f>
        <v>1757.5776899999998</v>
      </c>
    </row>
    <row r="137" spans="1:10" ht="14.95" customHeight="1">
      <c r="A137" s="414" t="s">
        <v>3029</v>
      </c>
      <c r="B137" s="737">
        <f>'Аксессуары (2)'!B137*1.3*($K$2/100+1)</f>
        <v>447.56518950000003</v>
      </c>
      <c r="C137" s="737">
        <f>'Аксессуары (2)'!C137*1.3*($K$2/100+1)</f>
        <v>497.29465499999992</v>
      </c>
      <c r="D137" s="737">
        <f>'Аксессуары (2)'!D137*1.3*($K$2/100+1)</f>
        <v>547.02412050000009</v>
      </c>
      <c r="E137" s="737">
        <f>'Аксессуары (2)'!E137*1.6*($K$2/100+1)</f>
        <v>734.4659519999999</v>
      </c>
      <c r="F137" s="737">
        <f>'Аксессуары (2)'!F137*1.6*($K$2/100+1)</f>
        <v>807.91254720000006</v>
      </c>
      <c r="G137" s="737">
        <f>'Аксессуары (2)'!G137*1.6*($K$2/100+1)</f>
        <v>881.35914239999977</v>
      </c>
      <c r="H137" s="738">
        <f>'Аксессуары (2)'!H137*1.8*($K$2/100+1)</f>
        <v>1377.12366</v>
      </c>
      <c r="I137" s="738">
        <f>'Аксессуары (2)'!J137*1.5*($K$2/100+1)</f>
        <v>1721.4045750000002</v>
      </c>
      <c r="J137" s="739">
        <f>'Аксессуары (2)'!J137*1.8*($K$2/100+1)</f>
        <v>2065.6854900000003</v>
      </c>
    </row>
    <row r="138" spans="1:10" ht="14.95" customHeight="1">
      <c r="A138" s="414" t="s">
        <v>3030</v>
      </c>
      <c r="B138" s="737">
        <f>'Аксессуары (2)'!B138*1.3*($K$2/100+1)</f>
        <v>312.47073</v>
      </c>
      <c r="C138" s="737">
        <f>'Аксессуары (2)'!C138*1.3*($K$2/100+1)</f>
        <v>347.18970000000002</v>
      </c>
      <c r="D138" s="737">
        <f>'Аксессуары (2)'!D138*1.3*($K$2/100+1)</f>
        <v>381.90867000000003</v>
      </c>
      <c r="E138" s="737">
        <f>'Аксессуары (2)'!E138*1.6*($K$2/100+1)</f>
        <v>512.77247999999997</v>
      </c>
      <c r="F138" s="737">
        <f>'Аксессуары (2)'!F138*1.6*($K$2/100+1)</f>
        <v>564.04972800000007</v>
      </c>
      <c r="G138" s="737">
        <f>'Аксессуары (2)'!G138*1.6*($K$2/100+1)</f>
        <v>615.32697599999995</v>
      </c>
      <c r="H138" s="738">
        <f>'Аксессуары (2)'!H138*1.8*($K$2/100+1)</f>
        <v>961.44839999999999</v>
      </c>
      <c r="I138" s="738">
        <f>'Аксессуары (2)'!J138*1.5*($K$2/100+1)</f>
        <v>1201.8105</v>
      </c>
      <c r="J138" s="739">
        <f>'Аксессуары (2)'!J138*1.8*($K$2/100+1)</f>
        <v>1442.1726000000001</v>
      </c>
    </row>
    <row r="139" spans="1:10" ht="14.95" customHeight="1">
      <c r="A139" s="414" t="s">
        <v>3031</v>
      </c>
      <c r="B139" s="737">
        <f>'Аксессуары (2)'!B139*1.3*($K$2/100+1)</f>
        <v>316.68694200000004</v>
      </c>
      <c r="C139" s="737">
        <f>'Аксессуары (2)'!C139*1.3*($K$2/100+1)</f>
        <v>351.87437999999997</v>
      </c>
      <c r="D139" s="737">
        <f>'Аксессуары (2)'!D139*1.3*($K$2/100+1)</f>
        <v>387.06181799999996</v>
      </c>
      <c r="E139" s="737">
        <f>'Аксессуары (2)'!E139*1.6*($K$2/100+1)</f>
        <v>519.69139199999995</v>
      </c>
      <c r="F139" s="737">
        <f>'Аксессуары (2)'!F139*1.6*($K$2/100+1)</f>
        <v>571.66053119999992</v>
      </c>
      <c r="G139" s="737">
        <f>'Аксессуары (2)'!G139*1.6*($K$2/100+1)</f>
        <v>623.6296703999999</v>
      </c>
      <c r="H139" s="738">
        <f>'Аксессуары (2)'!H139*1.8*($K$2/100+1)</f>
        <v>974.42135999999994</v>
      </c>
      <c r="I139" s="738">
        <f>'Аксессуары (2)'!J139*1.5*($K$2/100+1)</f>
        <v>1218.0266999999997</v>
      </c>
      <c r="J139" s="739">
        <f>'Аксессуары (2)'!J139*1.8*($K$2/100+1)</f>
        <v>1461.6320399999997</v>
      </c>
    </row>
    <row r="140" spans="1:10" ht="14.95" customHeight="1">
      <c r="A140" s="414" t="s">
        <v>3032</v>
      </c>
      <c r="B140" s="737">
        <f>'Аксессуары (2)'!B140*1.3*($K$2/100+1)</f>
        <v>337.24097549999999</v>
      </c>
      <c r="C140" s="737">
        <f>'Аксессуары (2)'!C140*1.3*($K$2/100+1)</f>
        <v>374.71219500000001</v>
      </c>
      <c r="D140" s="737">
        <f>'Аксессуары (2)'!D140*1.3*($K$2/100+1)</f>
        <v>412.18341450000003</v>
      </c>
      <c r="E140" s="737">
        <f>'Аксессуары (2)'!E140*1.6*($K$2/100+1)</f>
        <v>553.42108799999994</v>
      </c>
      <c r="F140" s="737">
        <f>'Аксессуары (2)'!F140*1.6*($K$2/100+1)</f>
        <v>608.76319680000006</v>
      </c>
      <c r="G140" s="737">
        <f>'Аксессуары (2)'!G140*1.6*($K$2/100+1)</f>
        <v>664.10530559999995</v>
      </c>
      <c r="H140" s="738">
        <f>'Аксессуары (2)'!H140*1.8*($K$2/100+1)</f>
        <v>1037.66454</v>
      </c>
      <c r="I140" s="738">
        <f>'Аксессуары (2)'!J140*1.5*($K$2/100+1)</f>
        <v>1297.0806749999999</v>
      </c>
      <c r="J140" s="739">
        <f>'Аксессуары (2)'!J140*1.8*($K$2/100+1)</f>
        <v>1556.4968099999999</v>
      </c>
    </row>
    <row r="141" spans="1:10" ht="14.95" customHeight="1">
      <c r="A141" s="414" t="s">
        <v>3033</v>
      </c>
      <c r="B141" s="737">
        <f>'Аксессуары (2)'!B141*1.3*($K$2/100+1)</f>
        <v>372.2004</v>
      </c>
      <c r="C141" s="737">
        <f>'Аксессуары (2)'!C141*1.3*($K$2/100+1)</f>
        <v>413.55599999999998</v>
      </c>
      <c r="D141" s="737">
        <f>'Аксессуары (2)'!D141*1.3*($K$2/100+1)</f>
        <v>454.91160000000008</v>
      </c>
      <c r="E141" s="737">
        <f>'Аксессуары (2)'!E141*1.6*($K$2/100+1)</f>
        <v>610.79040000000009</v>
      </c>
      <c r="F141" s="737">
        <f>'Аксессуары (2)'!F141*1.6*($K$2/100+1)</f>
        <v>671.86944000000005</v>
      </c>
      <c r="G141" s="737">
        <f>'Аксессуары (2)'!G141*1.6*($K$2/100+1)</f>
        <v>732.94848000000002</v>
      </c>
      <c r="H141" s="738">
        <f>'Аксессуары (2)'!H141*1.8*($K$2/100+1)</f>
        <v>1145.232</v>
      </c>
      <c r="I141" s="738">
        <f>'Аксессуары (2)'!J141*1.5*($K$2/100+1)</f>
        <v>1431.5400000000002</v>
      </c>
      <c r="J141" s="739">
        <f>'Аксессуары (2)'!J141*1.8*($K$2/100+1)</f>
        <v>1717.8480000000002</v>
      </c>
    </row>
    <row r="142" spans="1:10" ht="14.95" customHeight="1">
      <c r="A142" s="414" t="s">
        <v>3034</v>
      </c>
      <c r="B142" s="737">
        <f>'Аксессуары (2)'!B142*1.3*($K$2/100+1)</f>
        <v>407.33549999999997</v>
      </c>
      <c r="C142" s="737">
        <f>'Аксессуары (2)'!C142*1.3*($K$2/100+1)</f>
        <v>452.59499999999997</v>
      </c>
      <c r="D142" s="737">
        <f>'Аксессуары (2)'!D142*1.3*($K$2/100+1)</f>
        <v>497.85450000000003</v>
      </c>
      <c r="E142" s="737">
        <f>'Аксессуары (2)'!E142*1.6*($K$2/100+1)</f>
        <v>668.44799999999998</v>
      </c>
      <c r="F142" s="737">
        <f>'Аксессуары (2)'!F142*1.6*($K$2/100+1)</f>
        <v>735.29280000000006</v>
      </c>
      <c r="G142" s="737">
        <f>'Аксессуары (2)'!G142*1.6*($K$2/100+1)</f>
        <v>802.13760000000002</v>
      </c>
      <c r="H142" s="738">
        <f>'Аксессуары (2)'!H142*1.8*($K$2/100+1)</f>
        <v>1253.3399999999999</v>
      </c>
      <c r="I142" s="738">
        <f>'Аксессуары (2)'!J142*1.5*($K$2/100+1)</f>
        <v>1566.675</v>
      </c>
      <c r="J142" s="739">
        <f>'Аксессуары (2)'!J142*1.8*($K$2/100+1)</f>
        <v>1880.01</v>
      </c>
    </row>
    <row r="143" spans="1:10" ht="14.95" customHeight="1">
      <c r="A143" s="414" t="s">
        <v>3035</v>
      </c>
      <c r="B143" s="737">
        <f>'Аксессуары (2)'!B143*1.3*($K$2/100+1)</f>
        <v>299.29506750000002</v>
      </c>
      <c r="C143" s="737">
        <f>'Аксессуары (2)'!C143*1.3*($K$2/100+1)</f>
        <v>332.55007499999999</v>
      </c>
      <c r="D143" s="737">
        <f>'Аксессуары (2)'!D143*1.3*($K$2/100+1)</f>
        <v>365.80508249999997</v>
      </c>
      <c r="E143" s="737">
        <f>'Аксессуары (2)'!E143*1.6*($K$2/100+1)</f>
        <v>491.15088000000003</v>
      </c>
      <c r="F143" s="737">
        <f>'Аксессуары (2)'!F143*1.6*($K$2/100+1)</f>
        <v>540.26596799999993</v>
      </c>
      <c r="G143" s="737">
        <f>'Аксессуары (2)'!G143*1.6*($K$2/100+1)</f>
        <v>589.38105600000006</v>
      </c>
      <c r="H143" s="738">
        <f>'Аксессуары (2)'!H143*1.8*($K$2/100+1)</f>
        <v>920.90789999999993</v>
      </c>
      <c r="I143" s="738">
        <f>'Аксессуары (2)'!J143*1.5*($K$2/100+1)</f>
        <v>1151.134875</v>
      </c>
      <c r="J143" s="739">
        <f>'Аксессуары (2)'!J143*1.8*($K$2/100+1)</f>
        <v>1381.36185</v>
      </c>
    </row>
    <row r="144" spans="1:10" ht="14.95" customHeight="1">
      <c r="A144" s="414" t="s">
        <v>3036</v>
      </c>
      <c r="B144" s="737">
        <f>'Аксессуары (2)'!B144*1.3*($K$2/100+1)</f>
        <v>311.5923525</v>
      </c>
      <c r="C144" s="737">
        <f>'Аксессуары (2)'!C144*1.3*($K$2/100+1)</f>
        <v>346.21372500000001</v>
      </c>
      <c r="D144" s="737">
        <f>'Аксессуары (2)'!D144*1.3*($K$2/100+1)</f>
        <v>380.83509750000002</v>
      </c>
      <c r="E144" s="737">
        <f>'Аксессуары (2)'!E144*1.6*($K$2/100+1)</f>
        <v>511.33103999999997</v>
      </c>
      <c r="F144" s="737">
        <f>'Аксессуары (2)'!F144*1.6*($K$2/100+1)</f>
        <v>562.46414399999992</v>
      </c>
      <c r="G144" s="737">
        <f>'Аксессуары (2)'!G144*1.6*($K$2/100+1)</f>
        <v>613.59724800000004</v>
      </c>
      <c r="H144" s="738">
        <f>'Аксессуары (2)'!H144*1.8*($K$2/100+1)</f>
        <v>958.74569999999994</v>
      </c>
      <c r="I144" s="738">
        <f>'Аксессуары (2)'!J144*1.5*($K$2/100+1)</f>
        <v>1198.4321249999998</v>
      </c>
      <c r="J144" s="739">
        <f>'Аксессуары (2)'!J144*1.8*($K$2/100+1)</f>
        <v>1438.1185500000001</v>
      </c>
    </row>
    <row r="145" spans="1:10" ht="14.95" customHeight="1">
      <c r="A145" s="414" t="s">
        <v>3037</v>
      </c>
      <c r="B145" s="737">
        <f>'Аксессуары (2)'!B145*1.3*($K$2/100+1)</f>
        <v>312.64640550000001</v>
      </c>
      <c r="C145" s="737">
        <f>'Аксессуары (2)'!C145*1.3*($K$2/100+1)</f>
        <v>347.38489499999997</v>
      </c>
      <c r="D145" s="737">
        <f>'Аксессуары (2)'!D145*1.3*($K$2/100+1)</f>
        <v>382.12338450000004</v>
      </c>
      <c r="E145" s="737">
        <f>'Аксессуары (2)'!E145*1.6*($K$2/100+1)</f>
        <v>513.06076799999994</v>
      </c>
      <c r="F145" s="737">
        <f>'Аксессуары (2)'!F145*1.6*($K$2/100+1)</f>
        <v>564.36684480000008</v>
      </c>
      <c r="G145" s="737">
        <f>'Аксессуары (2)'!G145*1.6*($K$2/100+1)</f>
        <v>615.67292159999988</v>
      </c>
      <c r="H145" s="738">
        <f>'Аксессуары (2)'!H145*1.8*($K$2/100+1)</f>
        <v>961.98893999999996</v>
      </c>
      <c r="I145" s="738">
        <f>'Аксессуары (2)'!J145*1.5*($K$2/100+1)</f>
        <v>1202.4861749999998</v>
      </c>
      <c r="J145" s="739">
        <f>'Аксессуары (2)'!J145*1.8*($K$2/100+1)</f>
        <v>1442.9834099999998</v>
      </c>
    </row>
    <row r="146" spans="1:10" ht="14.95" customHeight="1">
      <c r="A146" s="414" t="s">
        <v>3038</v>
      </c>
      <c r="B146" s="737">
        <f>'Аксессуары (2)'!B146*1.3*($K$2/100+1)</f>
        <v>327.05179650000002</v>
      </c>
      <c r="C146" s="737">
        <f>'Аксессуары (2)'!C146*1.3*($K$2/100+1)</f>
        <v>363.39088500000003</v>
      </c>
      <c r="D146" s="737">
        <f>'Аксессуары (2)'!D146*1.3*($K$2/100+1)</f>
        <v>399.72997350000003</v>
      </c>
      <c r="E146" s="737">
        <f>'Аксессуары (2)'!E146*1.6*($K$2/100+1)</f>
        <v>536.70038399999999</v>
      </c>
      <c r="F146" s="737">
        <f>'Аксессуары (2)'!F146*1.6*($K$2/100+1)</f>
        <v>590.37042240000005</v>
      </c>
      <c r="G146" s="737">
        <f>'Аксессуары (2)'!G146*1.6*($K$2/100+1)</f>
        <v>644.04046080000001</v>
      </c>
      <c r="H146" s="738">
        <f>'Аксессуары (2)'!H146*1.8*($K$2/100+1)</f>
        <v>1006.3132200000001</v>
      </c>
      <c r="I146" s="738">
        <f>'Аксессуары (2)'!J146*1.5*($K$2/100+1)</f>
        <v>1257.891525</v>
      </c>
      <c r="J146" s="739">
        <f>'Аксессуары (2)'!J146*1.8*($K$2/100+1)</f>
        <v>1509.46983</v>
      </c>
    </row>
    <row r="147" spans="1:10" ht="14.95" customHeight="1">
      <c r="A147" s="414" t="s">
        <v>3039</v>
      </c>
      <c r="B147" s="737">
        <f>'Аксессуары (2)'!B147*1.3*($K$2/100+1)</f>
        <v>348.83555850000005</v>
      </c>
      <c r="C147" s="737">
        <f>'Аксессуары (2)'!C147*1.3*($K$2/100+1)</f>
        <v>387.59506499999998</v>
      </c>
      <c r="D147" s="737">
        <f>'Аксессуары (2)'!D147*1.3*($K$2/100+1)</f>
        <v>426.35457150000002</v>
      </c>
      <c r="E147" s="737">
        <f>'Аксессуары (2)'!E147*1.6*($K$2/100+1)</f>
        <v>572.44809599999996</v>
      </c>
      <c r="F147" s="737">
        <f>'Аксессуары (2)'!F147*1.6*($K$2/100+1)</f>
        <v>629.69290560000002</v>
      </c>
      <c r="G147" s="737">
        <f>'Аксессуары (2)'!G147*1.6*($K$2/100+1)</f>
        <v>686.93771519999996</v>
      </c>
      <c r="H147" s="738">
        <f>'Аксессуары (2)'!H147*1.8*($K$2/100+1)</f>
        <v>1073.3401800000001</v>
      </c>
      <c r="I147" s="738">
        <f>'Аксессуары (2)'!J147*1.5*($K$2/100+1)</f>
        <v>1341.675225</v>
      </c>
      <c r="J147" s="739">
        <f>'Аксессуары (2)'!J147*1.8*($K$2/100+1)</f>
        <v>1610.01027</v>
      </c>
    </row>
    <row r="148" spans="1:10" ht="14.95" customHeight="1">
      <c r="A148" s="414" t="s">
        <v>3040</v>
      </c>
      <c r="B148" s="737">
        <f>'Аксессуары (2)'!B148*1.3*($K$2/100+1)</f>
        <v>410.49765899999994</v>
      </c>
      <c r="C148" s="737">
        <f>'Аксессуары (2)'!C148*1.3*($K$2/100+1)</f>
        <v>456.10850999999997</v>
      </c>
      <c r="D148" s="737">
        <f>'Аксессуары (2)'!D148*1.3*($K$2/100+1)</f>
        <v>501.71936099999999</v>
      </c>
      <c r="E148" s="737">
        <f>'Аксессуары (2)'!E148*1.6*($K$2/100+1)</f>
        <v>673.63718399999993</v>
      </c>
      <c r="F148" s="737">
        <f>'Аксессуары (2)'!F148*1.6*($K$2/100+1)</f>
        <v>741.00090239999986</v>
      </c>
      <c r="G148" s="737">
        <f>'Аксессуары (2)'!G148*1.6*($K$2/100+1)</f>
        <v>808.36462079999978</v>
      </c>
      <c r="H148" s="738">
        <f>'Аксессуары (2)'!H148*1.8*($K$2/100+1)</f>
        <v>1263.0697199999997</v>
      </c>
      <c r="I148" s="738">
        <f>'Аксессуары (2)'!J148*1.5*($K$2/100+1)</f>
        <v>1578.8371499999998</v>
      </c>
      <c r="J148" s="739">
        <f>'Аксессуары (2)'!J148*1.8*($K$2/100+1)</f>
        <v>1894.6045799999999</v>
      </c>
    </row>
    <row r="149" spans="1:10" ht="14.95" customHeight="1">
      <c r="A149" s="414" t="s">
        <v>3041</v>
      </c>
      <c r="B149" s="737">
        <f>'Аксессуары (2)'!B149*1.3*($K$2/100+1)</f>
        <v>442.47059999999993</v>
      </c>
      <c r="C149" s="737">
        <f>'Аксессуары (2)'!C149*1.3*($K$2/100+1)</f>
        <v>491.63399999999996</v>
      </c>
      <c r="D149" s="737">
        <f>'Аксессуары (2)'!D149*1.3*($K$2/100+1)</f>
        <v>540.79740000000004</v>
      </c>
      <c r="E149" s="737">
        <f>'Аксессуары (2)'!E149*1.6*($K$2/100+1)</f>
        <v>726.10559999999987</v>
      </c>
      <c r="F149" s="737">
        <f>'Аксессуары (2)'!F149*1.6*($K$2/100+1)</f>
        <v>798.71615999999995</v>
      </c>
      <c r="G149" s="737">
        <f>'Аксессуары (2)'!G149*1.6*($K$2/100+1)</f>
        <v>871.3267199999998</v>
      </c>
      <c r="H149" s="738">
        <f>'Аксессуары (2)'!H149*1.8*($K$2/100+1)</f>
        <v>1361.4479999999999</v>
      </c>
      <c r="I149" s="738">
        <f>'Аксессуары (2)'!J149*1.5*($K$2/100+1)</f>
        <v>1701.8099999999997</v>
      </c>
      <c r="J149" s="739">
        <f>'Аксессуары (2)'!J149*1.8*($K$2/100+1)</f>
        <v>2042.1719999999996</v>
      </c>
    </row>
    <row r="150" spans="1:10" ht="14.95" customHeight="1">
      <c r="A150" s="414" t="s">
        <v>3042</v>
      </c>
      <c r="B150" s="737">
        <f>'Аксессуары (2)'!B150*1.3*($K$2/100+1)</f>
        <v>316.15991550000007</v>
      </c>
      <c r="C150" s="737">
        <f>'Аксессуары (2)'!C150*1.3*($K$2/100+1)</f>
        <v>351.28879500000005</v>
      </c>
      <c r="D150" s="737">
        <f>'Аксессуары (2)'!D150*1.3*($K$2/100+1)</f>
        <v>386.41767450000003</v>
      </c>
      <c r="E150" s="737">
        <f>'Аксессуары (2)'!E150*1.6*($K$2/100+1)</f>
        <v>518.82652800000005</v>
      </c>
      <c r="F150" s="737">
        <f>'Аксессуары (2)'!F150*1.6*($K$2/100+1)</f>
        <v>570.70918080000001</v>
      </c>
      <c r="G150" s="737">
        <f>'Аксессуары (2)'!G150*1.6*($K$2/100+1)</f>
        <v>622.59183359999997</v>
      </c>
      <c r="H150" s="738">
        <f>'Аксессуары (2)'!H150*1.8*($K$2/100+1)</f>
        <v>972.79974000000016</v>
      </c>
      <c r="I150" s="738">
        <f>'Аксессуары (2)'!J150*1.5*($K$2/100+1)</f>
        <v>1215.999675</v>
      </c>
      <c r="J150" s="739">
        <f>'Аксессуары (2)'!J150*1.8*($K$2/100+1)</f>
        <v>1459.1996100000001</v>
      </c>
    </row>
    <row r="151" spans="1:10" ht="14.95" customHeight="1">
      <c r="A151" s="414" t="s">
        <v>3043</v>
      </c>
      <c r="B151" s="737">
        <f>'Аксессуары (2)'!B151*1.3*($K$2/100+1)</f>
        <v>326.17341899999997</v>
      </c>
      <c r="C151" s="737">
        <f>'Аксессуары (2)'!C151*1.3*($K$2/100+1)</f>
        <v>362.41490999999996</v>
      </c>
      <c r="D151" s="737">
        <f>'Аксессуары (2)'!D151*1.3*($K$2/100+1)</f>
        <v>398.65640100000002</v>
      </c>
      <c r="E151" s="737">
        <f>'Аксессуары (2)'!E151*1.6*($K$2/100+1)</f>
        <v>535.25894399999993</v>
      </c>
      <c r="F151" s="737">
        <f>'Аксессуары (2)'!F151*1.6*($K$2/100+1)</f>
        <v>588.78483840000001</v>
      </c>
      <c r="G151" s="737">
        <f>'Аксессуары (2)'!G151*1.6*($K$2/100+1)</f>
        <v>642.31073279999998</v>
      </c>
      <c r="H151" s="738">
        <f>'Аксессуары (2)'!H151*1.8*($K$2/100+1)</f>
        <v>1003.6105199999998</v>
      </c>
      <c r="I151" s="738">
        <f>'Аксессуары (2)'!J151*1.5*($K$2/100+1)</f>
        <v>1254.51315</v>
      </c>
      <c r="J151" s="739">
        <f>'Аксессуары (2)'!J151*1.8*($K$2/100+1)</f>
        <v>1505.41578</v>
      </c>
    </row>
    <row r="152" spans="1:10" ht="14.95" customHeight="1">
      <c r="A152" s="414" t="s">
        <v>3044</v>
      </c>
      <c r="B152" s="737">
        <f>'Аксессуары (2)'!B152*1.3*($K$2/100+1)</f>
        <v>331.26800849999995</v>
      </c>
      <c r="C152" s="737">
        <f>'Аксессуары (2)'!C152*1.3*($K$2/100+1)</f>
        <v>368.07556499999993</v>
      </c>
      <c r="D152" s="737">
        <f>'Аксессуары (2)'!D152*1.3*($K$2/100+1)</f>
        <v>404.88312150000002</v>
      </c>
      <c r="E152" s="737">
        <f>'Аксессуары (2)'!E152*1.6*($K$2/100+1)</f>
        <v>543.61929599999996</v>
      </c>
      <c r="F152" s="737">
        <f>'Аксессуары (2)'!F152*1.6*($K$2/100+1)</f>
        <v>597.98122560000002</v>
      </c>
      <c r="G152" s="737">
        <f>'Аксессуары (2)'!G152*1.6*($K$2/100+1)</f>
        <v>652.34315519999996</v>
      </c>
      <c r="H152" s="738">
        <f>'Аксессуары (2)'!H152*1.8*($K$2/100+1)</f>
        <v>1019.2861799999999</v>
      </c>
      <c r="I152" s="738">
        <f>'Аксессуары (2)'!J152*1.5*($K$2/100+1)</f>
        <v>1274.1077249999998</v>
      </c>
      <c r="J152" s="739">
        <f>'Аксессуары (2)'!J152*1.8*($K$2/100+1)</f>
        <v>1528.9292699999999</v>
      </c>
    </row>
    <row r="153" spans="1:10" ht="14.95" customHeight="1">
      <c r="A153" s="414" t="s">
        <v>3045</v>
      </c>
      <c r="B153" s="737">
        <f>'Аксессуары (2)'!B153*1.3*($K$2/100+1)</f>
        <v>347.60583000000003</v>
      </c>
      <c r="C153" s="737">
        <f>'Аксессуары (2)'!C153*1.3*($K$2/100+1)</f>
        <v>386.2287</v>
      </c>
      <c r="D153" s="737">
        <f>'Аксессуары (2)'!D153*1.3*($K$2/100+1)</f>
        <v>424.85157000000004</v>
      </c>
      <c r="E153" s="737">
        <f>'Аксессуары (2)'!E153*1.6*($K$2/100+1)</f>
        <v>570.43008000000009</v>
      </c>
      <c r="F153" s="737">
        <f>'Аксессуары (2)'!F153*1.6*($K$2/100+1)</f>
        <v>627.47308800000008</v>
      </c>
      <c r="G153" s="737">
        <f>'Аксессуары (2)'!G153*1.6*($K$2/100+1)</f>
        <v>684.51609599999995</v>
      </c>
      <c r="H153" s="738">
        <f>'Аксессуары (2)'!H153*1.8*($K$2/100+1)</f>
        <v>1069.5563999999999</v>
      </c>
      <c r="I153" s="738">
        <f>'Аксессуары (2)'!J153*1.5*($K$2/100+1)</f>
        <v>1336.9455</v>
      </c>
      <c r="J153" s="739">
        <f>'Аксессуары (2)'!J153*1.8*($K$2/100+1)</f>
        <v>1604.3346000000001</v>
      </c>
    </row>
    <row r="154" spans="1:10" ht="14.95" customHeight="1">
      <c r="A154" s="414" t="s">
        <v>3046</v>
      </c>
      <c r="B154" s="737">
        <f>'Аксессуары (2)'!B154*1.3*($K$2/100+1)</f>
        <v>372.2004</v>
      </c>
      <c r="C154" s="737">
        <f>'Аксессуары (2)'!C154*1.3*($K$2/100+1)</f>
        <v>413.55599999999998</v>
      </c>
      <c r="D154" s="737">
        <f>'Аксессуары (2)'!D154*1.3*($K$2/100+1)</f>
        <v>454.91160000000008</v>
      </c>
      <c r="E154" s="737">
        <f>'Аксессуары (2)'!E154*1.6*($K$2/100+1)</f>
        <v>610.79040000000009</v>
      </c>
      <c r="F154" s="737">
        <f>'Аксессуары (2)'!F154*1.6*($K$2/100+1)</f>
        <v>671.86944000000005</v>
      </c>
      <c r="G154" s="737">
        <f>'Аксессуары (2)'!G154*1.6*($K$2/100+1)</f>
        <v>732.94848000000002</v>
      </c>
      <c r="H154" s="738">
        <f>'Аксессуары (2)'!H154*1.8*($K$2/100+1)</f>
        <v>1145.232</v>
      </c>
      <c r="I154" s="738">
        <f>'Аксессуары (2)'!J154*1.5*($K$2/100+1)</f>
        <v>1431.5400000000002</v>
      </c>
      <c r="J154" s="739">
        <f>'Аксессуары (2)'!J154*1.8*($K$2/100+1)</f>
        <v>1717.8480000000002</v>
      </c>
    </row>
    <row r="155" spans="1:10" ht="14.95" customHeight="1">
      <c r="A155" s="414" t="s">
        <v>3047</v>
      </c>
      <c r="B155" s="737">
        <f>'Аксессуары (2)'!B155*1.3*($K$2/100+1)</f>
        <v>407.33549999999997</v>
      </c>
      <c r="C155" s="737">
        <f>'Аксессуары (2)'!C155*1.3*($K$2/100+1)</f>
        <v>452.59499999999997</v>
      </c>
      <c r="D155" s="737">
        <f>'Аксессуары (2)'!D155*1.3*($K$2/100+1)</f>
        <v>497.85450000000003</v>
      </c>
      <c r="E155" s="737">
        <f>'Аксессуары (2)'!E155*1.6*($K$2/100+1)</f>
        <v>668.44799999999998</v>
      </c>
      <c r="F155" s="737">
        <f>'Аксессуары (2)'!F155*1.6*($K$2/100+1)</f>
        <v>735.29280000000006</v>
      </c>
      <c r="G155" s="737">
        <f>'Аксессуары (2)'!G155*1.6*($K$2/100+1)</f>
        <v>802.13760000000002</v>
      </c>
      <c r="H155" s="738">
        <f>'Аксессуары (2)'!H155*1.8*($K$2/100+1)</f>
        <v>1253.3399999999999</v>
      </c>
      <c r="I155" s="738">
        <f>'Аксессуары (2)'!J155*1.5*($K$2/100+1)</f>
        <v>1566.675</v>
      </c>
      <c r="J155" s="739">
        <f>'Аксессуары (2)'!J155*1.8*($K$2/100+1)</f>
        <v>1880.01</v>
      </c>
    </row>
    <row r="156" spans="1:10" ht="14.95" customHeight="1">
      <c r="A156" s="414" t="s">
        <v>3048</v>
      </c>
      <c r="B156" s="737">
        <f>'Аксессуары (2)'!B156*1.3*($K$2/100+1)</f>
        <v>442.47059999999993</v>
      </c>
      <c r="C156" s="737">
        <f>'Аксессуары (2)'!C156*1.3*($K$2/100+1)</f>
        <v>491.63399999999996</v>
      </c>
      <c r="D156" s="737">
        <f>'Аксессуары (2)'!D156*1.3*($K$2/100+1)</f>
        <v>540.79740000000004</v>
      </c>
      <c r="E156" s="737">
        <f>'Аксессуары (2)'!E156*1.6*($K$2/100+1)</f>
        <v>726.10559999999987</v>
      </c>
      <c r="F156" s="737">
        <f>'Аксессуары (2)'!F156*1.6*($K$2/100+1)</f>
        <v>798.71615999999995</v>
      </c>
      <c r="G156" s="737">
        <f>'Аксессуары (2)'!G156*1.6*($K$2/100+1)</f>
        <v>871.3267199999998</v>
      </c>
      <c r="H156" s="738">
        <f>'Аксессуары (2)'!H156*1.8*($K$2/100+1)</f>
        <v>1361.4479999999999</v>
      </c>
      <c r="I156" s="738">
        <f>'Аксессуары (2)'!J156*1.5*($K$2/100+1)</f>
        <v>1701.8099999999997</v>
      </c>
      <c r="J156" s="739">
        <f>'Аксессуары (2)'!J156*1.8*($K$2/100+1)</f>
        <v>2042.1719999999996</v>
      </c>
    </row>
    <row r="157" spans="1:10" ht="14.95" customHeight="1">
      <c r="A157" s="414" t="s">
        <v>3049</v>
      </c>
      <c r="B157" s="737">
        <f>'Аксессуары (2)'!B157*1.3*($K$2/100+1)</f>
        <v>333.02476350000001</v>
      </c>
      <c r="C157" s="737">
        <f>'Аксессуары (2)'!C157*1.3*($K$2/100+1)</f>
        <v>370.02751499999999</v>
      </c>
      <c r="D157" s="737">
        <f>'Аксессуары (2)'!D157*1.3*($K$2/100+1)</f>
        <v>407.03026650000004</v>
      </c>
      <c r="E157" s="737">
        <f>'Аксессуары (2)'!E157*1.6*($K$2/100+1)</f>
        <v>546.50217599999996</v>
      </c>
      <c r="F157" s="737">
        <f>'Аксессуары (2)'!F157*1.6*($K$2/100+1)</f>
        <v>601.1523936000001</v>
      </c>
      <c r="G157" s="737">
        <f>'Аксессуары (2)'!G157*1.6*($K$2/100+1)</f>
        <v>655.8026112</v>
      </c>
      <c r="H157" s="738">
        <f>'Аксессуары (2)'!H157*1.8*($K$2/100+1)</f>
        <v>1024.6915799999999</v>
      </c>
      <c r="I157" s="738">
        <f>'Аксессуары (2)'!J157*1.5*($K$2/100+1)</f>
        <v>1280.8644749999999</v>
      </c>
      <c r="J157" s="739">
        <f>'Аксессуары (2)'!J157*1.8*($K$2/100+1)</f>
        <v>1537.0373699999998</v>
      </c>
    </row>
    <row r="158" spans="1:10" ht="14.95" customHeight="1">
      <c r="A158" s="414" t="s">
        <v>3050</v>
      </c>
      <c r="B158" s="737">
        <f>'Аксессуары (2)'!B158*1.3*($K$2/100+1)</f>
        <v>344.26799549999998</v>
      </c>
      <c r="C158" s="737">
        <f>'Аксессуары (2)'!C158*1.3*($K$2/100+1)</f>
        <v>382.51999499999999</v>
      </c>
      <c r="D158" s="737">
        <f>'Аксессуары (2)'!D158*1.3*($K$2/100+1)</f>
        <v>420.77199449999995</v>
      </c>
      <c r="E158" s="737">
        <f>'Аксессуары (2)'!E158*1.6*($K$2/100+1)</f>
        <v>564.95260800000005</v>
      </c>
      <c r="F158" s="737">
        <f>'Аксессуары (2)'!F158*1.6*($K$2/100+1)</f>
        <v>621.44786879999992</v>
      </c>
      <c r="G158" s="737">
        <f>'Аксессуары (2)'!G158*1.6*($K$2/100+1)</f>
        <v>677.94312959999991</v>
      </c>
      <c r="H158" s="738">
        <f>'Аксессуары (2)'!H158*1.8*($K$2/100+1)</f>
        <v>1059.2861399999999</v>
      </c>
      <c r="I158" s="738">
        <f>'Аксессуары (2)'!J158*1.5*($K$2/100+1)</f>
        <v>1324.1076749999997</v>
      </c>
      <c r="J158" s="739">
        <f>'Аксессуары (2)'!J158*1.8*($K$2/100+1)</f>
        <v>1588.9292099999998</v>
      </c>
    </row>
    <row r="159" spans="1:10" ht="14.95" customHeight="1">
      <c r="A159" s="414" t="s">
        <v>3051</v>
      </c>
      <c r="B159" s="737">
        <f>'Аксессуары (2)'!B159*1.3*($K$2/100+1)</f>
        <v>354.63284999999996</v>
      </c>
      <c r="C159" s="737">
        <f>'Аксессуары (2)'!C159*1.3*($K$2/100+1)</f>
        <v>394.03649999999999</v>
      </c>
      <c r="D159" s="737">
        <f>'Аксессуары (2)'!D159*1.3*($K$2/100+1)</f>
        <v>433.44014999999996</v>
      </c>
      <c r="E159" s="737">
        <f>'Аксессуары (2)'!E159*1.6*($K$2/100+1)</f>
        <v>581.96159999999986</v>
      </c>
      <c r="F159" s="737">
        <f>'Аксессуары (2)'!F159*1.6*($K$2/100+1)</f>
        <v>640.15775999999994</v>
      </c>
      <c r="G159" s="737">
        <f>'Аксессуары (2)'!G159*1.6*($K$2/100+1)</f>
        <v>698.3539199999999</v>
      </c>
      <c r="H159" s="738">
        <f>'Аксессуары (2)'!H159*1.8*($K$2/100+1)</f>
        <v>1091.1779999999999</v>
      </c>
      <c r="I159" s="738">
        <f>'Аксессуары (2)'!J159*1.5*($K$2/100+1)</f>
        <v>1363.9724999999996</v>
      </c>
      <c r="J159" s="739">
        <f>'Аксессуары (2)'!J159*1.8*($K$2/100+1)</f>
        <v>1636.7669999999998</v>
      </c>
    </row>
    <row r="160" spans="1:10" ht="14.95" customHeight="1">
      <c r="A160" s="414" t="s">
        <v>3052</v>
      </c>
      <c r="B160" s="737">
        <f>'Аксессуары (2)'!B160*1.3*($K$2/100+1)</f>
        <v>368.15986350000003</v>
      </c>
      <c r="C160" s="737">
        <f>'Аксессуары (2)'!C160*1.3*($K$2/100+1)</f>
        <v>409.06651499999998</v>
      </c>
      <c r="D160" s="737">
        <f>'Аксессуары (2)'!D160*1.3*($K$2/100+1)</f>
        <v>449.97316650000005</v>
      </c>
      <c r="E160" s="737">
        <f>'Аксессуары (2)'!E160*1.6*($K$2/100+1)</f>
        <v>604.15977599999997</v>
      </c>
      <c r="F160" s="737">
        <f>'Аксессуары (2)'!F160*1.6*($K$2/100+1)</f>
        <v>664.57575359999998</v>
      </c>
      <c r="G160" s="737">
        <f>'Аксессуары (2)'!G160*1.6*($K$2/100+1)</f>
        <v>724.99173119999989</v>
      </c>
      <c r="H160" s="738">
        <f>'Аксессуары (2)'!H160*1.8*($K$2/100+1)</f>
        <v>1132.7995799999999</v>
      </c>
      <c r="I160" s="738">
        <f>'Аксессуары (2)'!J160*1.5*($K$2/100+1)</f>
        <v>1415.9994749999998</v>
      </c>
      <c r="J160" s="739">
        <f>'Аксессуары (2)'!J160*1.8*($K$2/100+1)</f>
        <v>1699.19937</v>
      </c>
    </row>
    <row r="161" spans="1:10" ht="14.95" customHeight="1">
      <c r="A161" s="414" t="s">
        <v>3053</v>
      </c>
      <c r="B161" s="737">
        <f>'Аксессуары (2)'!B161*1.3*($K$2/100+1)</f>
        <v>395.56524150000007</v>
      </c>
      <c r="C161" s="737">
        <f>'Аксессуары (2)'!C161*1.3*($K$2/100+1)</f>
        <v>439.51693500000005</v>
      </c>
      <c r="D161" s="737">
        <f>'Аксессуары (2)'!D161*1.3*($K$2/100+1)</f>
        <v>483.46862850000014</v>
      </c>
      <c r="E161" s="737">
        <f>'Аксессуары (2)'!E161*1.6*($K$2/100+1)</f>
        <v>649.13270399999999</v>
      </c>
      <c r="F161" s="737">
        <f>'Аксессуары (2)'!F161*1.6*($K$2/100+1)</f>
        <v>714.04597440000009</v>
      </c>
      <c r="G161" s="737">
        <f>'Аксессуары (2)'!G161*1.6*($K$2/100+1)</f>
        <v>778.95924479999996</v>
      </c>
      <c r="H161" s="738">
        <f>'Аксессуары (2)'!H161*1.8*($K$2/100+1)</f>
        <v>1217.12382</v>
      </c>
      <c r="I161" s="738">
        <f>'Аксессуары (2)'!J161*1.5*($K$2/100+1)</f>
        <v>1521.404775</v>
      </c>
      <c r="J161" s="739">
        <f>'Аксессуары (2)'!J161*1.8*($K$2/100+1)</f>
        <v>1825.6857299999999</v>
      </c>
    </row>
    <row r="162" spans="1:10" ht="14.95" customHeight="1">
      <c r="A162" s="414" t="s">
        <v>3054</v>
      </c>
      <c r="B162" s="737">
        <f>'Аксессуары (2)'!B162*1.3*($K$2/100+1)</f>
        <v>424.90304999999995</v>
      </c>
      <c r="C162" s="737">
        <f>'Аксессуары (2)'!C162*1.3*($K$2/100+1)</f>
        <v>472.11449999999996</v>
      </c>
      <c r="D162" s="737">
        <f>'Аксессуары (2)'!D162*1.3*($K$2/100+1)</f>
        <v>519.32595000000003</v>
      </c>
      <c r="E162" s="737">
        <f>'Аксессуары (2)'!E162*1.6*($K$2/100+1)</f>
        <v>697.27679999999998</v>
      </c>
      <c r="F162" s="737">
        <f>'Аксессуары (2)'!F162*1.6*($K$2/100+1)</f>
        <v>767.00447999999994</v>
      </c>
      <c r="G162" s="737">
        <f>'Аксессуары (2)'!G162*1.6*($K$2/100+1)</f>
        <v>836.73216000000002</v>
      </c>
      <c r="H162" s="738">
        <f>'Аксессуары (2)'!H162*1.8*($K$2/100+1)</f>
        <v>1307.394</v>
      </c>
      <c r="I162" s="738">
        <f>'Аксессуары (2)'!J162*1.5*($K$2/100+1)</f>
        <v>1634.2424999999998</v>
      </c>
      <c r="J162" s="739">
        <f>'Аксессуары (2)'!J162*1.8*($K$2/100+1)</f>
        <v>1961.0909999999999</v>
      </c>
    </row>
    <row r="163" spans="1:10" ht="14.95" customHeight="1" thickBot="1">
      <c r="A163" s="415" t="s">
        <v>3055</v>
      </c>
      <c r="B163" s="737">
        <f>'Аксессуары (2)'!B163*1.3*($K$2/100+1)</f>
        <v>460.03815000000003</v>
      </c>
      <c r="C163" s="737">
        <f>'Аксессуары (2)'!C163*1.3*($K$2/100+1)</f>
        <v>511.15350000000001</v>
      </c>
      <c r="D163" s="737">
        <f>'Аксессуары (2)'!D163*1.3*($K$2/100+1)</f>
        <v>562.26885000000004</v>
      </c>
      <c r="E163" s="737">
        <f>'Аксессуары (2)'!E163*1.6*($K$2/100+1)</f>
        <v>754.93439999999998</v>
      </c>
      <c r="F163" s="737">
        <f>'Аксессуары (2)'!F163*1.6*($K$2/100+1)</f>
        <v>830.42784000000006</v>
      </c>
      <c r="G163" s="737">
        <f>'Аксессуары (2)'!G163*1.6*($K$2/100+1)</f>
        <v>905.92127999999991</v>
      </c>
      <c r="H163" s="738">
        <f>'Аксессуары (2)'!H163*1.8*($K$2/100+1)</f>
        <v>1415.5020000000002</v>
      </c>
      <c r="I163" s="738">
        <f>'Аксессуары (2)'!J163*1.5*($K$2/100+1)</f>
        <v>1769.3775000000001</v>
      </c>
      <c r="J163" s="739">
        <f>'Аксессуары (2)'!J163*1.8*($K$2/100+1)</f>
        <v>2123.2530000000002</v>
      </c>
    </row>
    <row r="164" spans="1:10" s="254" customFormat="1" ht="14.95" customHeight="1" thickBot="1">
      <c r="A164" s="615" t="s">
        <v>3056</v>
      </c>
      <c r="B164" s="842"/>
      <c r="C164" s="843"/>
      <c r="D164" s="843"/>
      <c r="E164" s="843"/>
      <c r="F164" s="843"/>
      <c r="G164" s="843"/>
      <c r="H164" s="843"/>
      <c r="I164" s="843"/>
      <c r="J164" s="844"/>
    </row>
    <row r="165" spans="1:10" ht="14.95" customHeight="1">
      <c r="A165" s="423" t="s">
        <v>3057</v>
      </c>
      <c r="B165" s="737">
        <f>'Аксессуары (2)'!B165*1.3*($K$2/100+1)</f>
        <v>79.162082999999996</v>
      </c>
      <c r="C165" s="737">
        <f>'Аксессуары (2)'!C165*1.3*($K$2/100+1)</f>
        <v>87.95787</v>
      </c>
      <c r="D165" s="737">
        <f>'Аксессуары (2)'!D165*1.3*($K$2/100+1)</f>
        <v>96.753657000000018</v>
      </c>
      <c r="E165" s="737">
        <f>'Аксессуары (2)'!E165*1.6*($K$2/100+1)</f>
        <v>129.90700799999999</v>
      </c>
      <c r="F165" s="737">
        <f>'Аксессуары (2)'!F165*1.6*($K$2/100+1)</f>
        <v>142.89770880000003</v>
      </c>
      <c r="G165" s="737">
        <f>'Аксессуары (2)'!G165*1.6*($K$2/100+1)</f>
        <v>155.88840959999999</v>
      </c>
      <c r="H165" s="738">
        <f>'Аксессуары (2)'!H165*1.8*($K$2/100+1)</f>
        <v>243.57563999999999</v>
      </c>
      <c r="I165" s="738">
        <f>'Аксессуары (2)'!J165*1.48*($K$2/100+1)</f>
        <v>300.40995600000002</v>
      </c>
      <c r="J165" s="739">
        <f>'Аксессуары (2)'!J165*1.8*($K$2/100+1)</f>
        <v>365.36345999999998</v>
      </c>
    </row>
    <row r="166" spans="1:10" ht="14.95" customHeight="1">
      <c r="A166" s="414" t="s">
        <v>3058</v>
      </c>
      <c r="B166" s="737">
        <f>'Аксессуары (2)'!B166*1.3*($K$2/100+1)</f>
        <v>79.337758500000007</v>
      </c>
      <c r="C166" s="737">
        <f>'Аксессуары (2)'!C166*1.3*($K$2/100+1)</f>
        <v>88.153064999999998</v>
      </c>
      <c r="D166" s="737">
        <f>'Аксессуары (2)'!D166*1.3*($K$2/100+1)</f>
        <v>96.968371500000003</v>
      </c>
      <c r="E166" s="737">
        <f>'Аксессуары (2)'!E166*1.6*($K$2/100+1)</f>
        <v>130.19529600000001</v>
      </c>
      <c r="F166" s="737">
        <f>'Аксессуары (2)'!F166*1.6*($K$2/100+1)</f>
        <v>143.21482560000001</v>
      </c>
      <c r="G166" s="737">
        <f>'Аксессуары (2)'!G166*1.6*($K$2/100+1)</f>
        <v>156.23435519999998</v>
      </c>
      <c r="H166" s="738">
        <f>'Аксессуары (2)'!H166*1.8*($K$2/100+1)</f>
        <v>244.11618000000001</v>
      </c>
      <c r="I166" s="738">
        <f>'Аксессуары (2)'!J166*1.48*($K$2/100+1)</f>
        <v>301.07662199999999</v>
      </c>
      <c r="J166" s="739">
        <f>'Аксессуары (2)'!J166*1.8*($K$2/100+1)</f>
        <v>366.17426999999998</v>
      </c>
    </row>
    <row r="167" spans="1:10" ht="14.95" customHeight="1">
      <c r="A167" s="414" t="s">
        <v>3059</v>
      </c>
      <c r="B167" s="737">
        <f>'Аксессуары (2)'!B167*1.3*($K$2/100+1)</f>
        <v>96.378281999999999</v>
      </c>
      <c r="C167" s="737">
        <f>'Аксессуары (2)'!C167*1.3*($K$2/100+1)</f>
        <v>107.08698</v>
      </c>
      <c r="D167" s="737">
        <f>'Аксессуары (2)'!D167*1.3*($K$2/100+1)</f>
        <v>117.79567800000001</v>
      </c>
      <c r="E167" s="737">
        <f>'Аксессуары (2)'!E167*1.6*($K$2/100+1)</f>
        <v>158.159232</v>
      </c>
      <c r="F167" s="737">
        <f>'Аксессуары (2)'!F167*1.6*($K$2/100+1)</f>
        <v>173.97515520000002</v>
      </c>
      <c r="G167" s="737">
        <f>'Аксессуары (2)'!G167*1.6*($K$2/100+1)</f>
        <v>189.79107839999998</v>
      </c>
      <c r="H167" s="738">
        <f>'Аксессуары (2)'!H167*1.8*($K$2/100+1)</f>
        <v>296.54856000000001</v>
      </c>
      <c r="I167" s="738">
        <f>'Аксессуары (2)'!J167*1.48*($K$2/100+1)</f>
        <v>365.74322399999994</v>
      </c>
      <c r="J167" s="739">
        <f>'Аксессуары (2)'!J167*1.8*($K$2/100+1)</f>
        <v>444.82283999999999</v>
      </c>
    </row>
    <row r="168" spans="1:10" ht="14.95" customHeight="1">
      <c r="A168" s="414" t="s">
        <v>3060</v>
      </c>
      <c r="B168" s="737">
        <f>'Аксессуары (2)'!B168*1.3*($K$2/100+1)</f>
        <v>107.27016300000001</v>
      </c>
      <c r="C168" s="737">
        <f>'Аксессуары (2)'!C168*1.3*($K$2/100+1)</f>
        <v>119.18907000000002</v>
      </c>
      <c r="D168" s="737">
        <f>'Аксессуары (2)'!D168*1.3*($K$2/100+1)</f>
        <v>131.10797700000001</v>
      </c>
      <c r="E168" s="737">
        <f>'Аксессуары (2)'!E168*1.6*($K$2/100+1)</f>
        <v>176.03308799999999</v>
      </c>
      <c r="F168" s="737">
        <f>'Аксессуары (2)'!F168*1.6*($K$2/100+1)</f>
        <v>193.6363968</v>
      </c>
      <c r="G168" s="737">
        <f>'Аксессуары (2)'!G168*1.6*($K$2/100+1)</f>
        <v>211.23970559999995</v>
      </c>
      <c r="H168" s="738">
        <f>'Аксессуары (2)'!H168*1.8*($K$2/100+1)</f>
        <v>330.06204000000002</v>
      </c>
      <c r="I168" s="738">
        <f>'Аксессуары (2)'!J168*1.48*($K$2/100+1)</f>
        <v>407.07651599999997</v>
      </c>
      <c r="J168" s="739">
        <f>'Аксессуары (2)'!J168*1.8*($K$2/100+1)</f>
        <v>495.09305999999998</v>
      </c>
    </row>
    <row r="169" spans="1:10" ht="14.95" customHeight="1">
      <c r="A169" s="414" t="s">
        <v>3061</v>
      </c>
      <c r="B169" s="737">
        <f>'Аксессуары (2)'!B169*1.3*($K$2/100+1)</f>
        <v>118.33771949999999</v>
      </c>
      <c r="C169" s="737">
        <f>'Аксессуары (2)'!C169*1.3*($K$2/100+1)</f>
        <v>131.48635499999997</v>
      </c>
      <c r="D169" s="737">
        <f>'Аксессуары (2)'!D169*1.3*($K$2/100+1)</f>
        <v>144.63499050000001</v>
      </c>
      <c r="E169" s="737">
        <f>'Аксессуары (2)'!E169*1.6*($K$2/100+1)</f>
        <v>194.19523199999998</v>
      </c>
      <c r="F169" s="737">
        <f>'Аксессуары (2)'!F169*1.6*($K$2/100+1)</f>
        <v>213.61475519999996</v>
      </c>
      <c r="G169" s="737">
        <f>'Аксессуары (2)'!G169*1.6*($K$2/100+1)</f>
        <v>233.03427839999995</v>
      </c>
      <c r="H169" s="738">
        <f>'Аксессуары (2)'!H169*1.8*($K$2/100+1)</f>
        <v>364.11606</v>
      </c>
      <c r="I169" s="738">
        <f>'Аксессуары (2)'!J169*1.48*($K$2/100+1)</f>
        <v>449.07647399999996</v>
      </c>
      <c r="J169" s="739">
        <f>'Аксессуары (2)'!J169*1.8*($K$2/100+1)</f>
        <v>546.17408999999998</v>
      </c>
    </row>
    <row r="170" spans="1:10" ht="14.95" customHeight="1">
      <c r="A170" s="414" t="s">
        <v>3062</v>
      </c>
      <c r="B170" s="737">
        <f>'Аксессуары (2)'!B170*1.3*($K$2/100+1)</f>
        <v>129.40527599999999</v>
      </c>
      <c r="C170" s="737">
        <f>'Аксессуары (2)'!C170*1.3*($K$2/100+1)</f>
        <v>143.78363999999999</v>
      </c>
      <c r="D170" s="737">
        <f>'Аксессуары (2)'!D170*1.3*($K$2/100+1)</f>
        <v>158.16200400000002</v>
      </c>
      <c r="E170" s="737">
        <f>'Аксессуары (2)'!E170*1.6*($K$2/100+1)</f>
        <v>212.35737599999996</v>
      </c>
      <c r="F170" s="737">
        <f>'Аксессуары (2)'!F170*1.6*($K$2/100+1)</f>
        <v>233.59311359999998</v>
      </c>
      <c r="G170" s="737">
        <f>'Аксессуары (2)'!G170*1.6*($K$2/100+1)</f>
        <v>254.82885119999995</v>
      </c>
      <c r="H170" s="738">
        <f>'Аксессуары (2)'!H170*1.8*($K$2/100+1)</f>
        <v>398.17007999999998</v>
      </c>
      <c r="I170" s="738">
        <f>'Аксессуары (2)'!J170*1.48*($K$2/100+1)</f>
        <v>491.07643199999995</v>
      </c>
      <c r="J170" s="739">
        <f>'Аксессуары (2)'!J170*1.8*($K$2/100+1)</f>
        <v>597.25512000000003</v>
      </c>
    </row>
    <row r="171" spans="1:10" ht="14.95" customHeight="1">
      <c r="A171" s="414" t="s">
        <v>3063</v>
      </c>
      <c r="B171" s="737">
        <f>'Аксессуары (2)'!B171*1.3*($K$2/100+1)</f>
        <v>140.64850799999999</v>
      </c>
      <c r="C171" s="737">
        <f>'Аксессуары (2)'!C171*1.3*($K$2/100+1)</f>
        <v>156.27611999999999</v>
      </c>
      <c r="D171" s="737">
        <f>'Аксессуары (2)'!D171*1.3*($K$2/100+1)</f>
        <v>171.90373199999999</v>
      </c>
      <c r="E171" s="737">
        <f>'Аксессуары (2)'!E171*1.6*($K$2/100+1)</f>
        <v>230.80780799999994</v>
      </c>
      <c r="F171" s="737">
        <f>'Аксессуары (2)'!F171*1.6*($K$2/100+1)</f>
        <v>253.88858879999998</v>
      </c>
      <c r="G171" s="737">
        <f>'Аксессуары (2)'!G171*1.6*($K$2/100+1)</f>
        <v>276.96936959999999</v>
      </c>
      <c r="H171" s="738">
        <f>'Аксессуары (2)'!H171*1.8*($K$2/100+1)</f>
        <v>432.76463999999993</v>
      </c>
      <c r="I171" s="738">
        <f>'Аксессуары (2)'!J171*1.48*($K$2/100+1)</f>
        <v>533.74305599999991</v>
      </c>
      <c r="J171" s="739">
        <f>'Аксессуары (2)'!J171*1.8*($K$2/100+1)</f>
        <v>649.14695999999992</v>
      </c>
    </row>
    <row r="172" spans="1:10" ht="14.95" customHeight="1">
      <c r="A172" s="414" t="s">
        <v>3064</v>
      </c>
      <c r="B172" s="737">
        <f>'Аксессуары (2)'!B172*1.3*($K$2/100+1)</f>
        <v>162.78362100000001</v>
      </c>
      <c r="C172" s="737">
        <f>'Аксессуары (2)'!C172*1.3*($K$2/100+1)</f>
        <v>180.87069</v>
      </c>
      <c r="D172" s="737">
        <f>'Аксессуары (2)'!D172*1.3*($K$2/100+1)</f>
        <v>198.95775900000001</v>
      </c>
      <c r="E172" s="737">
        <f>'Аксессуары (2)'!E172*1.6*($K$2/100+1)</f>
        <v>267.13209599999999</v>
      </c>
      <c r="F172" s="737">
        <f>'Аксессуары (2)'!F172*1.6*($K$2/100+1)</f>
        <v>293.84530560000002</v>
      </c>
      <c r="G172" s="737">
        <f>'Аксессуары (2)'!G172*1.6*($K$2/100+1)</f>
        <v>320.55851519999999</v>
      </c>
      <c r="H172" s="738">
        <f>'Аксессуары (2)'!H172*1.8*($K$2/100+1)</f>
        <v>500.87268</v>
      </c>
      <c r="I172" s="738">
        <f>'Аксессуары (2)'!J172*1.48*($K$2/100+1)</f>
        <v>617.74297200000001</v>
      </c>
      <c r="J172" s="739">
        <f>'Аксессуары (2)'!J172*1.8*($K$2/100+1)</f>
        <v>751.30902000000003</v>
      </c>
    </row>
    <row r="173" spans="1:10" ht="14.95" customHeight="1" thickBot="1">
      <c r="A173" s="415" t="s">
        <v>3065</v>
      </c>
      <c r="B173" s="737">
        <f>'Аксессуары (2)'!B173*1.3*($K$2/100+1)</f>
        <v>184.918734</v>
      </c>
      <c r="C173" s="737">
        <f>'Аксессуары (2)'!C173*1.3*($K$2/100+1)</f>
        <v>205.46526</v>
      </c>
      <c r="D173" s="737">
        <f>'Аксессуары (2)'!D173*1.3*($K$2/100+1)</f>
        <v>226.011786</v>
      </c>
      <c r="E173" s="737">
        <f>'Аксессуары (2)'!E173*1.6*($K$2/100+1)</f>
        <v>303.45638399999996</v>
      </c>
      <c r="F173" s="737">
        <f>'Аксессуары (2)'!F173*1.6*($K$2/100+1)</f>
        <v>333.8020224</v>
      </c>
      <c r="G173" s="737">
        <f>'Аксессуары (2)'!G173*1.6*($K$2/100+1)</f>
        <v>364.14766080000004</v>
      </c>
      <c r="H173" s="738">
        <f>'Аксессуары (2)'!H173*1.8*($K$2/100+1)</f>
        <v>568.98071999999991</v>
      </c>
      <c r="I173" s="738">
        <f>'Аксессуары (2)'!J173*1.48*($K$2/100+1)</f>
        <v>701.74288799999988</v>
      </c>
      <c r="J173" s="739">
        <f>'Аксессуары (2)'!J173*1.8*($K$2/100+1)</f>
        <v>853.47107999999992</v>
      </c>
    </row>
    <row r="174" spans="1:10" s="254" customFormat="1" ht="14.95" customHeight="1" thickBot="1">
      <c r="A174" s="615" t="s">
        <v>3180</v>
      </c>
      <c r="B174" s="842"/>
      <c r="C174" s="843"/>
      <c r="D174" s="843"/>
      <c r="E174" s="843"/>
      <c r="F174" s="843"/>
      <c r="G174" s="843"/>
      <c r="H174" s="843"/>
      <c r="I174" s="843"/>
      <c r="J174" s="844"/>
    </row>
    <row r="175" spans="1:10" ht="14.95" customHeight="1">
      <c r="A175" s="423" t="s">
        <v>3181</v>
      </c>
      <c r="B175" s="737">
        <f>'Аксессуары (2)'!B175*1.3*($K$2/100+1)</f>
        <v>258.011325</v>
      </c>
      <c r="C175" s="737">
        <f>'Аксессуары (2)'!C175*1.3*($K$2/100+1)</f>
        <v>286.67924999999997</v>
      </c>
      <c r="D175" s="737">
        <f>'Аксессуары (2)'!D175*1.3*($K$2/100+1)</f>
        <v>315.34717499999999</v>
      </c>
      <c r="E175" s="737">
        <f>'Аксессуары (2)'!E175*1.6*($K$2/100+1)</f>
        <v>423.40319999999997</v>
      </c>
      <c r="F175" s="737">
        <f>'Аксессуары (2)'!F175*1.6*($K$2/100+1)</f>
        <v>465.74351999999999</v>
      </c>
      <c r="G175" s="737">
        <f>'Аксессуары (2)'!G175*1.6*($K$2/100+1)</f>
        <v>508.08383999999995</v>
      </c>
      <c r="H175" s="738">
        <f>'Аксессуары (2)'!H175*1.8*($K$2/100+1)</f>
        <v>793.88099999999997</v>
      </c>
      <c r="I175" s="738">
        <f>'Аксессуары (2)'!J175*1.5*($K$2/100+1)</f>
        <v>992.35125000000005</v>
      </c>
      <c r="J175" s="739">
        <f>'Аксессуары (2)'!J175*1.8*($K$2/100+1)</f>
        <v>1190.8215000000002</v>
      </c>
    </row>
    <row r="176" spans="1:10" ht="14.95" customHeight="1">
      <c r="A176" s="414" t="s">
        <v>3182</v>
      </c>
      <c r="B176" s="737">
        <f>'Аксессуары (2)'!B176*1.3*($K$2/100+1)</f>
        <v>261.17348400000003</v>
      </c>
      <c r="C176" s="737">
        <f>'Аксессуары (2)'!C176*1.3*($K$2/100+1)</f>
        <v>290.19276000000002</v>
      </c>
      <c r="D176" s="737">
        <f>'Аксессуары (2)'!D176*1.3*($K$2/100+1)</f>
        <v>319.21203600000007</v>
      </c>
      <c r="E176" s="737">
        <f>'Аксессуары (2)'!E176*1.6*($K$2/100+1)</f>
        <v>428.59238400000004</v>
      </c>
      <c r="F176" s="737">
        <f>'Аксессуары (2)'!F176*1.6*($K$2/100+1)</f>
        <v>471.45162240000008</v>
      </c>
      <c r="G176" s="737">
        <f>'Аксессуары (2)'!G176*1.6*($K$2/100+1)</f>
        <v>514.31086080000011</v>
      </c>
      <c r="H176" s="738">
        <f>'Аксессуары (2)'!H176*1.8*($K$2/100+1)</f>
        <v>803.61072000000001</v>
      </c>
      <c r="I176" s="738">
        <f>'Аксессуары (2)'!J176*1.5*($K$2/100+1)</f>
        <v>1004.5134</v>
      </c>
      <c r="J176" s="739">
        <f>'Аксессуары (2)'!J176*1.8*($K$2/100+1)</f>
        <v>1205.4160800000002</v>
      </c>
    </row>
    <row r="177" spans="1:10" ht="14.95" customHeight="1">
      <c r="A177" s="414" t="s">
        <v>3183</v>
      </c>
      <c r="B177" s="737">
        <f>'Аксессуары (2)'!B177*1.3*($K$2/100+1)</f>
        <v>262.4032125</v>
      </c>
      <c r="C177" s="737">
        <f>'Аксессуары (2)'!C177*1.3*($K$2/100+1)</f>
        <v>291.55912499999999</v>
      </c>
      <c r="D177" s="737">
        <f>'Аксессуары (2)'!D177*1.3*($K$2/100+1)</f>
        <v>320.71503750000005</v>
      </c>
      <c r="E177" s="737">
        <f>'Аксессуары (2)'!E177*1.6*($K$2/100+1)</f>
        <v>430.61040000000008</v>
      </c>
      <c r="F177" s="737">
        <f>'Аксессуары (2)'!F177*1.6*($K$2/100+1)</f>
        <v>473.67144000000008</v>
      </c>
      <c r="G177" s="737">
        <f>'Аксессуары (2)'!G177*1.6*($K$2/100+1)</f>
        <v>516.73248000000001</v>
      </c>
      <c r="H177" s="738">
        <f>'Аксессуары (2)'!H177*1.8*($K$2/100+1)</f>
        <v>807.39449999999999</v>
      </c>
      <c r="I177" s="738">
        <f>'Аксессуары (2)'!J177*1.5*($K$2/100+1)</f>
        <v>1009.243125</v>
      </c>
      <c r="J177" s="739">
        <f>'Аксессуары (2)'!J177*1.8*($K$2/100+1)</f>
        <v>1211.09175</v>
      </c>
    </row>
    <row r="178" spans="1:10" ht="14.95" customHeight="1">
      <c r="A178" s="414" t="s">
        <v>3184</v>
      </c>
      <c r="B178" s="737">
        <f>'Аксессуары (2)'!B178*1.3*($K$2/100+1)</f>
        <v>264.68699400000003</v>
      </c>
      <c r="C178" s="737">
        <f>'Аксессуары (2)'!C178*1.3*($K$2/100+1)</f>
        <v>294.09666000000004</v>
      </c>
      <c r="D178" s="737">
        <f>'Аксессуары (2)'!D178*1.3*($K$2/100+1)</f>
        <v>323.506326</v>
      </c>
      <c r="E178" s="737">
        <f>'Аксессуары (2)'!E178*1.6*($K$2/100+1)</f>
        <v>434.35814399999998</v>
      </c>
      <c r="F178" s="737">
        <f>'Аксессуары (2)'!F178*1.6*($K$2/100+1)</f>
        <v>477.79395840000007</v>
      </c>
      <c r="G178" s="737">
        <f>'Аксессуары (2)'!G178*1.6*($K$2/100+1)</f>
        <v>521.22977279999986</v>
      </c>
      <c r="H178" s="738">
        <f>'Аксессуары (2)'!H178*1.8*($K$2/100+1)</f>
        <v>814.42151999999999</v>
      </c>
      <c r="I178" s="738">
        <f>'Аксессуары (2)'!J178*1.5*($K$2/100+1)</f>
        <v>1018.0269</v>
      </c>
      <c r="J178" s="739">
        <f>'Аксессуары (2)'!J178*1.8*($K$2/100+1)</f>
        <v>1221.6322799999998</v>
      </c>
    </row>
    <row r="179" spans="1:10" ht="14.95" customHeight="1">
      <c r="A179" s="414" t="s">
        <v>3185</v>
      </c>
      <c r="B179" s="737">
        <f>'Аксессуары (2)'!B179*1.3*($K$2/100+1)</f>
        <v>277.86265650000001</v>
      </c>
      <c r="C179" s="737">
        <f>'Аксессуары (2)'!C179*1.3*($K$2/100+1)</f>
        <v>308.73628499999995</v>
      </c>
      <c r="D179" s="737">
        <f>'Аксессуары (2)'!D179*1.3*($K$2/100+1)</f>
        <v>339.6099135</v>
      </c>
      <c r="E179" s="737">
        <f>'Аксессуары (2)'!E179*1.6*($K$2/100+1)</f>
        <v>455.97974399999998</v>
      </c>
      <c r="F179" s="737">
        <f>'Аксессуары (2)'!F179*1.6*($K$2/100+1)</f>
        <v>501.57771839999998</v>
      </c>
      <c r="G179" s="737">
        <f>'Аксессуары (2)'!G179*1.6*($K$2/100+1)</f>
        <v>547.17569279999998</v>
      </c>
      <c r="H179" s="738">
        <f>'Аксессуары (2)'!H179*1.8*($K$2/100+1)</f>
        <v>854.96202000000005</v>
      </c>
      <c r="I179" s="738">
        <f>'Аксессуары (2)'!J179*1.5*($K$2/100+1)</f>
        <v>1068.7025249999999</v>
      </c>
      <c r="J179" s="739">
        <f>'Аксессуары (2)'!J179*1.8*($K$2/100+1)</f>
        <v>1282.4430299999999</v>
      </c>
    </row>
    <row r="180" spans="1:10" ht="14.95" customHeight="1">
      <c r="A180" s="414" t="s">
        <v>3186</v>
      </c>
      <c r="B180" s="737">
        <f>'Аксессуары (2)'!B180*1.3*($K$2/100+1)</f>
        <v>282.43021950000002</v>
      </c>
      <c r="C180" s="737">
        <f>'Аксессуары (2)'!C180*1.3*($K$2/100+1)</f>
        <v>313.81135499999999</v>
      </c>
      <c r="D180" s="737">
        <f>'Аксессуары (2)'!D180*1.3*($K$2/100+1)</f>
        <v>345.19249050000002</v>
      </c>
      <c r="E180" s="737">
        <f>'Аксессуары (2)'!E180*1.6*($K$2/100+1)</f>
        <v>463.47523199999995</v>
      </c>
      <c r="F180" s="737">
        <f>'Аксессуары (2)'!F180*1.6*($K$2/100+1)</f>
        <v>509.82275520000013</v>
      </c>
      <c r="G180" s="737">
        <f>'Аксессуары (2)'!G180*1.6*($K$2/100+1)</f>
        <v>556.17027840000003</v>
      </c>
      <c r="H180" s="738">
        <f>'Аксессуары (2)'!H180*1.8*($K$2/100+1)</f>
        <v>869.01606000000004</v>
      </c>
      <c r="I180" s="738">
        <f>'Аксессуары (2)'!J180*1.5*($K$2/100+1)</f>
        <v>1086.2700750000001</v>
      </c>
      <c r="J180" s="739">
        <f>'Аксессуары (2)'!J180*1.8*($K$2/100+1)</f>
        <v>1303.5240900000001</v>
      </c>
    </row>
    <row r="181" spans="1:10" ht="14.95" customHeight="1">
      <c r="A181" s="414" t="s">
        <v>3187</v>
      </c>
      <c r="B181" s="737">
        <f>'Аксессуары (2)'!B181*1.3*($K$2/100+1)</f>
        <v>284.53832549999993</v>
      </c>
      <c r="C181" s="737">
        <f>'Аксессуары (2)'!C181*1.3*($K$2/100+1)</f>
        <v>316.15369499999997</v>
      </c>
      <c r="D181" s="737">
        <f>'Аксессуары (2)'!D181*1.3*($K$2/100+1)</f>
        <v>347.76906450000001</v>
      </c>
      <c r="E181" s="737">
        <f>'Аксессуары (2)'!E181*1.6*($K$2/100+1)</f>
        <v>466.93468799999988</v>
      </c>
      <c r="F181" s="737">
        <f>'Аксессуары (2)'!F181*1.6*($K$2/100+1)</f>
        <v>513.62815680000006</v>
      </c>
      <c r="G181" s="737">
        <f>'Аксессуары (2)'!G181*1.6*($K$2/100+1)</f>
        <v>560.32162559999995</v>
      </c>
      <c r="H181" s="738">
        <f>'Аксессуары (2)'!H181*1.8*($K$2/100+1)</f>
        <v>875.50253999999984</v>
      </c>
      <c r="I181" s="738">
        <f>'Аксессуары (2)'!J181*1.5*($K$2/100+1)</f>
        <v>1094.3781750000001</v>
      </c>
      <c r="J181" s="739">
        <f>'Аксессуары (2)'!J181*1.8*($K$2/100+1)</f>
        <v>1313.2538100000002</v>
      </c>
    </row>
    <row r="182" spans="1:10" ht="14.95" customHeight="1">
      <c r="A182" s="414" t="s">
        <v>3188</v>
      </c>
      <c r="B182" s="737">
        <f>'Аксессуары (2)'!B182*1.3*($K$2/100+1)</f>
        <v>291.38967000000002</v>
      </c>
      <c r="C182" s="737">
        <f>'Аксессуары (2)'!C182*1.3*($K$2/100+1)</f>
        <v>323.7663</v>
      </c>
      <c r="D182" s="737">
        <f>'Аксессуары (2)'!D182*1.3*($K$2/100+1)</f>
        <v>356.14293000000004</v>
      </c>
      <c r="E182" s="737">
        <f>'Аксессуары (2)'!E182*1.6*($K$2/100+1)</f>
        <v>478.17791999999997</v>
      </c>
      <c r="F182" s="737">
        <f>'Аксессуары (2)'!F182*1.6*($K$2/100+1)</f>
        <v>525.99571200000003</v>
      </c>
      <c r="G182" s="737">
        <f>'Аксессуары (2)'!G182*1.6*($K$2/100+1)</f>
        <v>573.81350399999997</v>
      </c>
      <c r="H182" s="738">
        <f>'Аксессуары (2)'!H182*1.8*($K$2/100+1)</f>
        <v>896.58359999999993</v>
      </c>
      <c r="I182" s="738">
        <f>'Аксессуары (2)'!J182*1.5*($K$2/100+1)</f>
        <v>1120.7294999999999</v>
      </c>
      <c r="J182" s="739">
        <f>'Аксессуары (2)'!J182*1.8*($K$2/100+1)</f>
        <v>1344.8753999999999</v>
      </c>
    </row>
    <row r="183" spans="1:10" ht="14.95" customHeight="1">
      <c r="A183" s="414" t="s">
        <v>3189</v>
      </c>
      <c r="B183" s="737">
        <f>'Аксессуары (2)'!B183*1.3*($K$2/100+1)</f>
        <v>300.52479599999998</v>
      </c>
      <c r="C183" s="737">
        <f>'Аксессуары (2)'!C183*1.3*($K$2/100+1)</f>
        <v>333.91644000000002</v>
      </c>
      <c r="D183" s="737">
        <f>'Аксессуары (2)'!D183*1.3*($K$2/100+1)</f>
        <v>367.30808400000006</v>
      </c>
      <c r="E183" s="737">
        <f>'Аксессуары (2)'!E183*1.6*($K$2/100+1)</f>
        <v>493.16889599999996</v>
      </c>
      <c r="F183" s="737">
        <f>'Аксессуары (2)'!F183*1.6*($K$2/100+1)</f>
        <v>542.48578559999999</v>
      </c>
      <c r="G183" s="737">
        <f>'Аксессуары (2)'!G183*1.6*($K$2/100+1)</f>
        <v>591.80267519999995</v>
      </c>
      <c r="H183" s="738">
        <f>'Аксессуары (2)'!H183*1.8*($K$2/100+1)</f>
        <v>924.69168000000002</v>
      </c>
      <c r="I183" s="738">
        <f>'Аксессуары (2)'!J183*1.5*($K$2/100+1)</f>
        <v>1155.8645999999997</v>
      </c>
      <c r="J183" s="739">
        <f>'Аксессуары (2)'!J183*1.8*($K$2/100+1)</f>
        <v>1387.0375199999999</v>
      </c>
    </row>
    <row r="184" spans="1:10" ht="14.95" customHeight="1">
      <c r="A184" s="414" t="s">
        <v>3190</v>
      </c>
      <c r="B184" s="737">
        <f>'Аксессуары (2)'!B184*1.3*($K$2/100+1)</f>
        <v>298.24101449999995</v>
      </c>
      <c r="C184" s="737">
        <f>'Аксессуары (2)'!C184*1.3*($K$2/100+1)</f>
        <v>331.37890499999997</v>
      </c>
      <c r="D184" s="737">
        <f>'Аксессуары (2)'!D184*1.3*($K$2/100+1)</f>
        <v>364.5167955</v>
      </c>
      <c r="E184" s="737">
        <f>'Аксессуары (2)'!E184*1.6*($K$2/100+1)</f>
        <v>489.42115199999995</v>
      </c>
      <c r="F184" s="737">
        <f>'Аксессуары (2)'!F184*1.6*($K$2/100+1)</f>
        <v>538.36326720000011</v>
      </c>
      <c r="G184" s="737">
        <f>'Аксессуары (2)'!G184*1.6*($K$2/100+1)</f>
        <v>587.30538239999998</v>
      </c>
      <c r="H184" s="738">
        <f>'Аксессуары (2)'!H184*1.8*($K$2/100+1)</f>
        <v>917.66465999999991</v>
      </c>
      <c r="I184" s="738">
        <f>'Аксессуары (2)'!J184*1.5*($K$2/100+1)</f>
        <v>1147.0808249999998</v>
      </c>
      <c r="J184" s="739">
        <f>'Аксессуары (2)'!J184*1.8*($K$2/100+1)</f>
        <v>1376.4969899999999</v>
      </c>
    </row>
    <row r="185" spans="1:10" ht="14.95" customHeight="1">
      <c r="A185" s="414" t="s">
        <v>3191</v>
      </c>
      <c r="B185" s="737">
        <f>'Аксессуары (2)'!B185*1.3*($K$2/100+1)</f>
        <v>313.87613399999998</v>
      </c>
      <c r="C185" s="737">
        <f>'Аксессуары (2)'!C185*1.3*($K$2/100+1)</f>
        <v>348.75125999999995</v>
      </c>
      <c r="D185" s="737">
        <f>'Аксессуары (2)'!D185*1.3*($K$2/100+1)</f>
        <v>383.62638600000002</v>
      </c>
      <c r="E185" s="737">
        <f>'Аксессуары (2)'!E185*1.6*($K$2/100+1)</f>
        <v>515.07878399999993</v>
      </c>
      <c r="F185" s="737">
        <f>'Аксессуары (2)'!F185*1.6*($K$2/100+1)</f>
        <v>566.58666240000002</v>
      </c>
      <c r="G185" s="737">
        <f>'Аксессуары (2)'!G185*1.6*($K$2/100+1)</f>
        <v>618.0945408</v>
      </c>
      <c r="H185" s="738">
        <f>'Аксессуары (2)'!H185*1.8*($K$2/100+1)</f>
        <v>965.77271999999982</v>
      </c>
      <c r="I185" s="738">
        <f>'Аксессуары (2)'!J185*1.5*($K$2/100+1)</f>
        <v>1207.2158999999999</v>
      </c>
      <c r="J185" s="739">
        <f>'Аксессуары (2)'!J185*1.8*($K$2/100+1)</f>
        <v>1448.6590800000001</v>
      </c>
    </row>
    <row r="186" spans="1:10" ht="14.95" customHeight="1">
      <c r="A186" s="414" t="s">
        <v>3192</v>
      </c>
      <c r="B186" s="737">
        <f>'Аксессуары (2)'!B186*1.3*($K$2/100+1)</f>
        <v>324.41666399999997</v>
      </c>
      <c r="C186" s="737">
        <f>'Аксессуары (2)'!C186*1.3*($K$2/100+1)</f>
        <v>360.46296000000001</v>
      </c>
      <c r="D186" s="737">
        <f>'Аксессуары (2)'!D186*1.3*($K$2/100+1)</f>
        <v>396.50925600000005</v>
      </c>
      <c r="E186" s="737">
        <f>'Аксессуары (2)'!E186*1.6*($K$2/100+1)</f>
        <v>532.37606400000004</v>
      </c>
      <c r="F186" s="737">
        <f>'Аксессуары (2)'!F186*1.6*($K$2/100+1)</f>
        <v>585.61367040000016</v>
      </c>
      <c r="G186" s="737">
        <f>'Аксессуары (2)'!G186*1.6*($K$2/100+1)</f>
        <v>638.85127679999994</v>
      </c>
      <c r="H186" s="738">
        <f>'Аксессуары (2)'!H186*1.8*($K$2/100+1)</f>
        <v>998.20511999999997</v>
      </c>
      <c r="I186" s="738">
        <f>'Аксессуары (2)'!J186*1.5*($K$2/100+1)</f>
        <v>1247.7564</v>
      </c>
      <c r="J186" s="739">
        <f>'Аксессуары (2)'!J186*1.8*($K$2/100+1)</f>
        <v>1497.3076799999999</v>
      </c>
    </row>
    <row r="187" spans="1:10" ht="14.95" customHeight="1">
      <c r="A187" s="414" t="s">
        <v>3193</v>
      </c>
      <c r="B187" s="737">
        <f>'Аксессуары (2)'!B187*1.3*($K$2/100+1)</f>
        <v>354.63284999999996</v>
      </c>
      <c r="C187" s="737">
        <f>'Аксессуары (2)'!C187*1.3*($K$2/100+1)</f>
        <v>394.03649999999999</v>
      </c>
      <c r="D187" s="737">
        <f>'Аксессуары (2)'!D187*1.3*($K$2/100+1)</f>
        <v>433.44014999999996</v>
      </c>
      <c r="E187" s="737">
        <f>'Аксессуары (2)'!E187*1.6*($K$2/100+1)</f>
        <v>581.96159999999986</v>
      </c>
      <c r="F187" s="737">
        <f>'Аксессуары (2)'!F187*1.6*($K$2/100+1)</f>
        <v>640.15775999999994</v>
      </c>
      <c r="G187" s="737">
        <f>'Аксессуары (2)'!G187*1.6*($K$2/100+1)</f>
        <v>698.3539199999999</v>
      </c>
      <c r="H187" s="738">
        <f>'Аксессуары (2)'!H187*1.8*($K$2/100+1)</f>
        <v>1091.1779999999999</v>
      </c>
      <c r="I187" s="738">
        <f>'Аксессуары (2)'!J187*1.5*($K$2/100+1)</f>
        <v>1363.9724999999996</v>
      </c>
      <c r="J187" s="739">
        <f>'Аксессуары (2)'!J187*1.8*($K$2/100+1)</f>
        <v>1636.7669999999998</v>
      </c>
    </row>
    <row r="188" spans="1:10" ht="14.95" customHeight="1">
      <c r="A188" s="414" t="s">
        <v>3194</v>
      </c>
      <c r="B188" s="737">
        <f>'Аксессуары (2)'!B188*1.3*($K$2/100+1)</f>
        <v>322.48423349999996</v>
      </c>
      <c r="C188" s="737">
        <f>'Аксессуары (2)'!C188*1.3*($K$2/100+1)</f>
        <v>358.31581499999999</v>
      </c>
      <c r="D188" s="737">
        <f>'Аксессуары (2)'!D188*1.3*($K$2/100+1)</f>
        <v>394.14739650000001</v>
      </c>
      <c r="E188" s="737">
        <f>'Аксессуары (2)'!E188*1.6*($K$2/100+1)</f>
        <v>529.20489600000008</v>
      </c>
      <c r="F188" s="737">
        <f>'Аксессуары (2)'!F188*1.6*($K$2/100+1)</f>
        <v>582.12538559999996</v>
      </c>
      <c r="G188" s="737">
        <f>'Аксессуары (2)'!G188*1.6*($K$2/100+1)</f>
        <v>635.04587519999995</v>
      </c>
      <c r="H188" s="738">
        <f>'Аксессуары (2)'!H188*1.8*($K$2/100+1)</f>
        <v>992.2591799999999</v>
      </c>
      <c r="I188" s="738">
        <f>'Аксессуары (2)'!J188*1.5*($K$2/100+1)</f>
        <v>1240.3239749999998</v>
      </c>
      <c r="J188" s="739">
        <f>'Аксессуары (2)'!J188*1.8*($K$2/100+1)</f>
        <v>1488.3887699999998</v>
      </c>
    </row>
    <row r="189" spans="1:10" ht="14.95" customHeight="1">
      <c r="A189" s="414" t="s">
        <v>3195</v>
      </c>
      <c r="B189" s="737">
        <f>'Аксессуары (2)'!B189*1.3*($K$2/100+1)</f>
        <v>328.45720050000006</v>
      </c>
      <c r="C189" s="737">
        <f>'Аксессуары (2)'!C189*1.3*($K$2/100+1)</f>
        <v>364.95244500000001</v>
      </c>
      <c r="D189" s="737">
        <f>'Аксессуары (2)'!D189*1.3*($K$2/100+1)</f>
        <v>401.44768950000008</v>
      </c>
      <c r="E189" s="737">
        <f>'Аксессуары (2)'!E189*1.6*($K$2/100+1)</f>
        <v>539.00668800000005</v>
      </c>
      <c r="F189" s="737">
        <f>'Аксессуары (2)'!F189*1.6*($K$2/100+1)</f>
        <v>592.9073568</v>
      </c>
      <c r="G189" s="737">
        <f>'Аксессуары (2)'!G189*1.6*($K$2/100+1)</f>
        <v>646.80802559999995</v>
      </c>
      <c r="H189" s="738">
        <f>'Аксессуары (2)'!H189*1.8*($K$2/100+1)</f>
        <v>1010.6375400000002</v>
      </c>
      <c r="I189" s="738">
        <f>'Аксессуары (2)'!J189*1.5*($K$2/100+1)</f>
        <v>1263.2969250000001</v>
      </c>
      <c r="J189" s="739">
        <f>'Аксессуары (2)'!J189*1.8*($K$2/100+1)</f>
        <v>1515.95631</v>
      </c>
    </row>
    <row r="190" spans="1:10" ht="14.95" customHeight="1">
      <c r="A190" s="414" t="s">
        <v>3196</v>
      </c>
      <c r="B190" s="737">
        <f>'Аксессуары (2)'!B190*1.3*($K$2/100+1)</f>
        <v>330.91665749999993</v>
      </c>
      <c r="C190" s="737">
        <f>'Аксессуары (2)'!C190*1.3*($K$2/100+1)</f>
        <v>367.68517499999996</v>
      </c>
      <c r="D190" s="737">
        <f>'Аксессуары (2)'!D190*1.3*($K$2/100+1)</f>
        <v>404.45369249999999</v>
      </c>
      <c r="E190" s="737">
        <f>'Аксессуары (2)'!E190*1.6*($K$2/100+1)</f>
        <v>543.04272000000003</v>
      </c>
      <c r="F190" s="737">
        <f>'Аксессуары (2)'!F190*1.6*($K$2/100+1)</f>
        <v>597.346992</v>
      </c>
      <c r="G190" s="737">
        <f>'Аксессуары (2)'!G190*1.6*($K$2/100+1)</f>
        <v>651.65126399999986</v>
      </c>
      <c r="H190" s="738">
        <f>'Аксессуары (2)'!H190*1.8*($K$2/100+1)</f>
        <v>1018.2050999999998</v>
      </c>
      <c r="I190" s="738">
        <f>'Аксессуары (2)'!J190*1.5*($K$2/100+1)</f>
        <v>1272.7563749999999</v>
      </c>
      <c r="J190" s="739">
        <f>'Аксессуары (2)'!J190*1.8*($K$2/100+1)</f>
        <v>1527.30765</v>
      </c>
    </row>
    <row r="191" spans="1:10" ht="14.95" customHeight="1">
      <c r="A191" s="414" t="s">
        <v>3197</v>
      </c>
      <c r="B191" s="737">
        <f>'Аксессуары (2)'!B191*1.3*($K$2/100+1)</f>
        <v>339.87610799999999</v>
      </c>
      <c r="C191" s="737">
        <f>'Аксессуары (2)'!C191*1.3*($K$2/100+1)</f>
        <v>377.64011999999997</v>
      </c>
      <c r="D191" s="737">
        <f>'Аксессуары (2)'!D191*1.3*($K$2/100+1)</f>
        <v>415.40413199999995</v>
      </c>
      <c r="E191" s="737">
        <f>'Аксессуары (2)'!E191*1.6*($K$2/100+1)</f>
        <v>557.74540799999988</v>
      </c>
      <c r="F191" s="737">
        <f>'Аксессуары (2)'!F191*1.6*($K$2/100+1)</f>
        <v>613.51994879999995</v>
      </c>
      <c r="G191" s="737">
        <f>'Аксессуары (2)'!G191*1.6*($K$2/100+1)</f>
        <v>669.29448959999991</v>
      </c>
      <c r="H191" s="738">
        <f>'Аксессуары (2)'!H191*1.8*($K$2/100+1)</f>
        <v>1045.7726399999999</v>
      </c>
      <c r="I191" s="738">
        <f>'Аксессуары (2)'!J191*1.5*($K$2/100+1)</f>
        <v>1307.2157999999997</v>
      </c>
      <c r="J191" s="739">
        <f>'Аксессуары (2)'!J191*1.8*($K$2/100+1)</f>
        <v>1568.6589599999995</v>
      </c>
    </row>
    <row r="192" spans="1:10" ht="14.95" customHeight="1">
      <c r="A192" s="414" t="s">
        <v>3198</v>
      </c>
      <c r="B192" s="737">
        <f>'Аксессуары (2)'!B192*1.3*($K$2/100+1)</f>
        <v>352.87609500000002</v>
      </c>
      <c r="C192" s="737">
        <f>'Аксессуары (2)'!C192*1.3*($K$2/100+1)</f>
        <v>392.08454999999998</v>
      </c>
      <c r="D192" s="737">
        <f>'Аксессуары (2)'!D192*1.3*($K$2/100+1)</f>
        <v>431.29300499999999</v>
      </c>
      <c r="E192" s="737">
        <f>'Аксессуары (2)'!E192*1.6*($K$2/100+1)</f>
        <v>579.07871999999998</v>
      </c>
      <c r="F192" s="737">
        <f>'Аксессуары (2)'!F192*1.6*($K$2/100+1)</f>
        <v>636.98659200000009</v>
      </c>
      <c r="G192" s="737">
        <f>'Аксессуары (2)'!G192*1.6*($K$2/100+1)</f>
        <v>694.89446399999986</v>
      </c>
      <c r="H192" s="738">
        <f>'Аксессуары (2)'!H192*1.8*($K$2/100+1)</f>
        <v>1085.7726</v>
      </c>
      <c r="I192" s="738">
        <f>'Аксессуары (2)'!J192*1.5*($K$2/100+1)</f>
        <v>1357.2157500000001</v>
      </c>
      <c r="J192" s="739">
        <f>'Аксессуары (2)'!J192*1.8*($K$2/100+1)</f>
        <v>1628.6588999999999</v>
      </c>
    </row>
    <row r="193" spans="1:10" ht="14.95" customHeight="1">
      <c r="A193" s="414" t="s">
        <v>3199</v>
      </c>
      <c r="B193" s="737">
        <f>'Аксессуары (2)'!B193*1.3*($K$2/100+1)</f>
        <v>372.2004</v>
      </c>
      <c r="C193" s="737">
        <f>'Аксессуары (2)'!C193*1.3*($K$2/100+1)</f>
        <v>413.55599999999998</v>
      </c>
      <c r="D193" s="737">
        <f>'Аксессуары (2)'!D193*1.3*($K$2/100+1)</f>
        <v>454.91160000000008</v>
      </c>
      <c r="E193" s="737">
        <f>'Аксессуары (2)'!E193*1.6*($K$2/100+1)</f>
        <v>610.79040000000009</v>
      </c>
      <c r="F193" s="737">
        <f>'Аксессуары (2)'!F193*1.6*($K$2/100+1)</f>
        <v>671.86944000000005</v>
      </c>
      <c r="G193" s="737">
        <f>'Аксессуары (2)'!G193*1.6*($K$2/100+1)</f>
        <v>732.94848000000002</v>
      </c>
      <c r="H193" s="738">
        <f>'Аксессуары (2)'!H193*1.8*($K$2/100+1)</f>
        <v>1145.232</v>
      </c>
      <c r="I193" s="738">
        <f>'Аксессуары (2)'!J193*1.5*($K$2/100+1)</f>
        <v>1431.5400000000002</v>
      </c>
      <c r="J193" s="739">
        <f>'Аксессуары (2)'!J193*1.8*($K$2/100+1)</f>
        <v>1717.8480000000002</v>
      </c>
    </row>
    <row r="194" spans="1:10" ht="14.95" customHeight="1">
      <c r="A194" s="414" t="s">
        <v>3200</v>
      </c>
      <c r="B194" s="737">
        <f>'Аксессуары (2)'!B194*1.3*($K$2/100+1)</f>
        <v>413.1327915</v>
      </c>
      <c r="C194" s="737">
        <f>'Аксессуары (2)'!C194*1.3*($K$2/100+1)</f>
        <v>459.03643499999993</v>
      </c>
      <c r="D194" s="737">
        <f>'Аксессуары (2)'!D194*1.3*($K$2/100+1)</f>
        <v>504.94007849999997</v>
      </c>
      <c r="E194" s="737">
        <f>'Аксессуары (2)'!E194*1.6*($K$2/100+1)</f>
        <v>677.96150399999988</v>
      </c>
      <c r="F194" s="737">
        <f>'Аксессуары (2)'!F194*1.6*($K$2/100+1)</f>
        <v>745.75765439999998</v>
      </c>
      <c r="G194" s="737">
        <f>'Аксессуары (2)'!G194*1.6*($K$2/100+1)</f>
        <v>813.55380479999974</v>
      </c>
      <c r="H194" s="738">
        <f>'Аксессуары (2)'!H194*1.8*($K$2/100+1)</f>
        <v>1271.1778199999999</v>
      </c>
      <c r="I194" s="738">
        <f>'Аксессуары (2)'!J194*1.5*($K$2/100+1)</f>
        <v>1588.9722749999999</v>
      </c>
      <c r="J194" s="739">
        <f>'Аксессуары (2)'!J194*1.8*($K$2/100+1)</f>
        <v>1906.7667300000001</v>
      </c>
    </row>
    <row r="195" spans="1:10" ht="14.95" customHeight="1">
      <c r="A195" s="414" t="s">
        <v>3201</v>
      </c>
      <c r="B195" s="737">
        <f>'Аксессуары (2)'!B195*1.3*($K$2/100+1)</f>
        <v>363.41662500000001</v>
      </c>
      <c r="C195" s="737">
        <f>'Аксессуары (2)'!C195*1.3*($K$2/100+1)</f>
        <v>403.79624999999999</v>
      </c>
      <c r="D195" s="737">
        <f>'Аксессуары (2)'!D195*1.3*($K$2/100+1)</f>
        <v>444.17587500000008</v>
      </c>
      <c r="E195" s="737">
        <f>'Аксессуары (2)'!E195*1.6*($K$2/100+1)</f>
        <v>596.37600000000009</v>
      </c>
      <c r="F195" s="737">
        <f>'Аксессуары (2)'!F195*1.6*($K$2/100+1)</f>
        <v>656.01360000000011</v>
      </c>
      <c r="G195" s="737">
        <f>'Аксессуары (2)'!G195*1.6*($K$2/100+1)</f>
        <v>715.65120000000002</v>
      </c>
      <c r="H195" s="738">
        <f>'Аксессуары (2)'!H195*1.8*($K$2/100+1)</f>
        <v>1118.2049999999999</v>
      </c>
      <c r="I195" s="738">
        <f>'Аксессуары (2)'!J195*1.5*($K$2/100+1)</f>
        <v>1397.7562499999999</v>
      </c>
      <c r="J195" s="739">
        <f>'Аксессуары (2)'!J195*1.8*($K$2/100+1)</f>
        <v>1677.3075000000001</v>
      </c>
    </row>
    <row r="196" spans="1:10" ht="14.95" customHeight="1">
      <c r="A196" s="414" t="s">
        <v>3202</v>
      </c>
      <c r="B196" s="737">
        <f>'Аксессуары (2)'!B196*1.3*($K$2/100+1)</f>
        <v>398.55172499999998</v>
      </c>
      <c r="C196" s="737">
        <f>'Аксессуары (2)'!C196*1.3*($K$2/100+1)</f>
        <v>442.83524999999997</v>
      </c>
      <c r="D196" s="737">
        <f>'Аксессуары (2)'!D196*1.3*($K$2/100+1)</f>
        <v>487.11877499999997</v>
      </c>
      <c r="E196" s="737">
        <f>'Аксессуары (2)'!E196*1.6*($K$2/100+1)</f>
        <v>654.03359999999998</v>
      </c>
      <c r="F196" s="737">
        <f>'Аксессуары (2)'!F196*1.6*($K$2/100+1)</f>
        <v>719.43696000000011</v>
      </c>
      <c r="G196" s="737">
        <f>'Аксессуары (2)'!G196*1.6*($K$2/100+1)</f>
        <v>784.84031999999991</v>
      </c>
      <c r="H196" s="738">
        <f>'Аксессуары (2)'!H196*1.8*($K$2/100+1)</f>
        <v>1226.3129999999999</v>
      </c>
      <c r="I196" s="738">
        <f>'Аксессуары (2)'!J196*1.5*($K$2/100+1)</f>
        <v>1532.8912499999997</v>
      </c>
      <c r="J196" s="739">
        <f>'Аксессуары (2)'!J196*1.8*($K$2/100+1)</f>
        <v>1839.4694999999997</v>
      </c>
    </row>
    <row r="197" spans="1:10" ht="14.95" customHeight="1">
      <c r="A197" s="414" t="s">
        <v>3203</v>
      </c>
      <c r="B197" s="737">
        <f>'Аксессуары (2)'!B197*1.3*($K$2/100+1)</f>
        <v>433.68682499999994</v>
      </c>
      <c r="C197" s="737">
        <f>'Аксессуары (2)'!C197*1.3*($K$2/100+1)</f>
        <v>481.8742499999999</v>
      </c>
      <c r="D197" s="737">
        <f>'Аксессуары (2)'!D197*1.3*($K$2/100+1)</f>
        <v>530.06167500000004</v>
      </c>
      <c r="E197" s="737">
        <f>'Аксессуары (2)'!E197*1.6*($K$2/100+1)</f>
        <v>711.69119999999987</v>
      </c>
      <c r="F197" s="737">
        <f>'Аксессуары (2)'!F197*1.6*($K$2/100+1)</f>
        <v>782.86032000000012</v>
      </c>
      <c r="G197" s="737">
        <f>'Аксессуары (2)'!G197*1.6*($K$2/100+1)</f>
        <v>854.02944000000002</v>
      </c>
      <c r="H197" s="738">
        <f>'Аксессуары (2)'!H197*1.8*($K$2/100+1)</f>
        <v>1334.4209999999998</v>
      </c>
      <c r="I197" s="738">
        <f>'Аксессуары (2)'!J197*1.5*($K$2/100+1)</f>
        <v>1668.0262499999999</v>
      </c>
      <c r="J197" s="739">
        <f>'Аксессуары (2)'!J197*1.8*($K$2/100+1)</f>
        <v>2001.6314999999997</v>
      </c>
    </row>
    <row r="198" spans="1:10" ht="14.95" customHeight="1">
      <c r="A198" s="414" t="s">
        <v>3204</v>
      </c>
      <c r="B198" s="737">
        <f>'Аксессуары (2)'!B198*1.3*($K$2/100+1)</f>
        <v>468.82192499999996</v>
      </c>
      <c r="C198" s="737">
        <f>'Аксессуары (2)'!C198*1.3*($K$2/100+1)</f>
        <v>520.91324999999995</v>
      </c>
      <c r="D198" s="737">
        <f>'Аксессуары (2)'!D198*1.3*($K$2/100+1)</f>
        <v>573.00457500000005</v>
      </c>
      <c r="E198" s="737">
        <f>'Аксессуары (2)'!E198*1.6*($K$2/100+1)</f>
        <v>769.34879999999987</v>
      </c>
      <c r="F198" s="737">
        <f>'Аксессуары (2)'!F198*1.6*($K$2/100+1)</f>
        <v>846.28367999999989</v>
      </c>
      <c r="G198" s="737">
        <f>'Аксессуары (2)'!G198*1.6*($K$2/100+1)</f>
        <v>923.21855999999991</v>
      </c>
      <c r="H198" s="738">
        <f>'Аксессуары (2)'!H198*1.8*($K$2/100+1)</f>
        <v>1442.529</v>
      </c>
      <c r="I198" s="738">
        <f>'Аксессуары (2)'!J198*1.5*($K$2/100+1)</f>
        <v>1803.1612499999997</v>
      </c>
      <c r="J198" s="739">
        <f>'Аксессуары (2)'!J198*1.8*($K$2/100+1)</f>
        <v>2163.7934999999998</v>
      </c>
    </row>
    <row r="199" spans="1:10" ht="14.95" customHeight="1">
      <c r="A199" s="414" t="s">
        <v>3205</v>
      </c>
      <c r="B199" s="737">
        <f>'Аксессуары (2)'!B199*1.3*($K$2/100+1)</f>
        <v>486.38947499999995</v>
      </c>
      <c r="C199" s="737">
        <f>'Аксессуары (2)'!C199*1.3*($K$2/100+1)</f>
        <v>540.43274999999994</v>
      </c>
      <c r="D199" s="737">
        <f>'Аксессуары (2)'!D199*1.3*($K$2/100+1)</f>
        <v>594.47602499999994</v>
      </c>
      <c r="E199" s="737">
        <f>'Аксессуары (2)'!E199*1.6*($K$2/100+1)</f>
        <v>798.17759999999987</v>
      </c>
      <c r="F199" s="737">
        <f>'Аксессуары (2)'!F199*1.6*($K$2/100+1)</f>
        <v>877.99535999999989</v>
      </c>
      <c r="G199" s="737">
        <f>'Аксессуары (2)'!G199*1.6*($K$2/100+1)</f>
        <v>957.81311999999969</v>
      </c>
      <c r="H199" s="738">
        <f>'Аксессуары (2)'!H199*1.8*($K$2/100+1)</f>
        <v>1496.5829999999999</v>
      </c>
      <c r="I199" s="738">
        <f>'Аксессуары (2)'!J199*1.5*($K$2/100+1)</f>
        <v>1870.7287499999998</v>
      </c>
      <c r="J199" s="739">
        <f>'Аксессуары (2)'!J199*1.8*($K$2/100+1)</f>
        <v>2244.8744999999999</v>
      </c>
    </row>
    <row r="200" spans="1:10" ht="14.95" customHeight="1">
      <c r="A200" s="414" t="s">
        <v>3206</v>
      </c>
      <c r="B200" s="737">
        <f>'Аксессуары (2)'!B200*1.3*($K$2/100+1)</f>
        <v>383.794983</v>
      </c>
      <c r="C200" s="737">
        <f>'Аксессуары (2)'!C200*1.3*($K$2/100+1)</f>
        <v>426.43886999999995</v>
      </c>
      <c r="D200" s="737">
        <f>'Аксессуары (2)'!D200*1.3*($K$2/100+1)</f>
        <v>469.08275699999996</v>
      </c>
      <c r="E200" s="737">
        <f>'Аксессуары (2)'!E200*1.6*($K$2/100+1)</f>
        <v>629.81740799999989</v>
      </c>
      <c r="F200" s="737">
        <f>'Аксессуары (2)'!F200*1.6*($K$2/100+1)</f>
        <v>692.79914880000001</v>
      </c>
      <c r="G200" s="737">
        <f>'Аксессуары (2)'!G200*1.6*($K$2/100+1)</f>
        <v>755.7808895999998</v>
      </c>
      <c r="H200" s="738">
        <f>'Аксессуары (2)'!H200*1.8*($K$2/100+1)</f>
        <v>1180.9076399999999</v>
      </c>
      <c r="I200" s="738">
        <f>'Аксессуары (2)'!J200*1.5*($K$2/100+1)</f>
        <v>1476.1345499999998</v>
      </c>
      <c r="J200" s="739">
        <f>'Аксессуары (2)'!J200*1.8*($K$2/100+1)</f>
        <v>1771.3614599999996</v>
      </c>
    </row>
    <row r="201" spans="1:10" ht="14.95" customHeight="1">
      <c r="A201" s="414" t="s">
        <v>3207</v>
      </c>
      <c r="B201" s="737">
        <f>'Аксессуары (2)'!B201*1.3*($K$2/100+1)</f>
        <v>391.34902950000003</v>
      </c>
      <c r="C201" s="737">
        <f>'Аксессуары (2)'!C201*1.3*($K$2/100+1)</f>
        <v>434.83225499999998</v>
      </c>
      <c r="D201" s="737">
        <f>'Аксессуары (2)'!D201*1.3*($K$2/100+1)</f>
        <v>478.31548049999998</v>
      </c>
      <c r="E201" s="737">
        <f>'Аксессуары (2)'!E201*1.6*($K$2/100+1)</f>
        <v>642.2137919999999</v>
      </c>
      <c r="F201" s="737">
        <f>'Аксессуары (2)'!F201*1.6*($K$2/100+1)</f>
        <v>706.43517120000013</v>
      </c>
      <c r="G201" s="737">
        <f>'Аксессуары (2)'!G201*1.6*($K$2/100+1)</f>
        <v>770.6565503999999</v>
      </c>
      <c r="H201" s="738">
        <f>'Аксессуары (2)'!H201*1.8*($K$2/100+1)</f>
        <v>1204.15086</v>
      </c>
      <c r="I201" s="738">
        <f>'Аксессуары (2)'!J201*1.5*($K$2/100+1)</f>
        <v>1505.1885749999997</v>
      </c>
      <c r="J201" s="739">
        <f>'Аксессуары (2)'!J201*1.8*($K$2/100+1)</f>
        <v>1806.2262899999996</v>
      </c>
    </row>
    <row r="202" spans="1:10" ht="14.95" customHeight="1">
      <c r="A202" s="414" t="s">
        <v>3208</v>
      </c>
      <c r="B202" s="737">
        <f>'Аксессуары (2)'!B202*1.3*($K$2/100+1)</f>
        <v>398.55172499999998</v>
      </c>
      <c r="C202" s="737">
        <f>'Аксессуары (2)'!C202*1.3*($K$2/100+1)</f>
        <v>442.83524999999997</v>
      </c>
      <c r="D202" s="737">
        <f>'Аксессуары (2)'!D202*1.3*($K$2/100+1)</f>
        <v>487.11877499999997</v>
      </c>
      <c r="E202" s="737">
        <f>'Аксессуары (2)'!E202*1.6*($K$2/100+1)</f>
        <v>654.03359999999998</v>
      </c>
      <c r="F202" s="737">
        <f>'Аксессуары (2)'!F202*1.6*($K$2/100+1)</f>
        <v>719.43696000000011</v>
      </c>
      <c r="G202" s="737">
        <f>'Аксессуары (2)'!G202*1.6*($K$2/100+1)</f>
        <v>784.84031999999991</v>
      </c>
      <c r="H202" s="738">
        <f>'Аксессуары (2)'!H202*1.8*($K$2/100+1)</f>
        <v>1226.3129999999999</v>
      </c>
      <c r="I202" s="738">
        <f>'Аксессуары (2)'!J202*1.5*($K$2/100+1)</f>
        <v>1532.8912499999997</v>
      </c>
      <c r="J202" s="739">
        <f>'Аксессуары (2)'!J202*1.8*($K$2/100+1)</f>
        <v>1839.4694999999997</v>
      </c>
    </row>
    <row r="203" spans="1:10" ht="14.95" customHeight="1">
      <c r="A203" s="414" t="s">
        <v>3209</v>
      </c>
      <c r="B203" s="737">
        <f>'Аксессуары (2)'!B203*1.3*($K$2/100+1)</f>
        <v>406.45712249999997</v>
      </c>
      <c r="C203" s="737">
        <f>'Аксессуары (2)'!C203*1.3*($K$2/100+1)</f>
        <v>451.61902500000002</v>
      </c>
      <c r="D203" s="737">
        <f>'Аксессуары (2)'!D203*1.3*($K$2/100+1)</f>
        <v>496.78092750000002</v>
      </c>
      <c r="E203" s="737">
        <f>'Аксессуары (2)'!E203*1.6*($K$2/100+1)</f>
        <v>667.00655999999992</v>
      </c>
      <c r="F203" s="737">
        <f>'Аксессуары (2)'!F203*1.6*($K$2/100+1)</f>
        <v>733.70721600000002</v>
      </c>
      <c r="G203" s="737">
        <f>'Аксессуары (2)'!G203*1.6*($K$2/100+1)</f>
        <v>800.40787199999977</v>
      </c>
      <c r="H203" s="738">
        <f>'Аксессуары (2)'!H203*1.8*($K$2/100+1)</f>
        <v>1250.6372999999999</v>
      </c>
      <c r="I203" s="738">
        <f>'Аксессуары (2)'!J203*1.5*($K$2/100+1)</f>
        <v>1563.2966249999999</v>
      </c>
      <c r="J203" s="739">
        <f>'Аксессуары (2)'!J203*1.8*($K$2/100+1)</f>
        <v>1875.9559499999998</v>
      </c>
    </row>
    <row r="204" spans="1:10" ht="14.95" customHeight="1">
      <c r="A204" s="414" t="s">
        <v>3210</v>
      </c>
      <c r="B204" s="737">
        <f>'Аксессуары (2)'!B204*1.3*($K$2/100+1)</f>
        <v>421.56521549999997</v>
      </c>
      <c r="C204" s="737">
        <f>'Аксессуары (2)'!C204*1.3*($K$2/100+1)</f>
        <v>468.40579499999996</v>
      </c>
      <c r="D204" s="737">
        <f>'Аксессуары (2)'!D204*1.3*($K$2/100+1)</f>
        <v>515.2463745</v>
      </c>
      <c r="E204" s="737">
        <f>'Аксессуары (2)'!E204*1.6*($K$2/100+1)</f>
        <v>691.79932799999995</v>
      </c>
      <c r="F204" s="737">
        <f>'Аксессуары (2)'!F204*1.6*($K$2/100+1)</f>
        <v>760.97926079999991</v>
      </c>
      <c r="G204" s="737">
        <f>'Аксессуары (2)'!G204*1.6*($K$2/100+1)</f>
        <v>830.15919359999998</v>
      </c>
      <c r="H204" s="738">
        <f>'Аксессуары (2)'!H204*1.8*($K$2/100+1)</f>
        <v>1297.1237399999998</v>
      </c>
      <c r="I204" s="738">
        <f>'Аксессуары (2)'!J204*1.5*($K$2/100+1)</f>
        <v>1621.4046749999998</v>
      </c>
      <c r="J204" s="739">
        <f>'Аксессуары (2)'!J204*1.8*($K$2/100+1)</f>
        <v>1945.6856099999998</v>
      </c>
    </row>
    <row r="205" spans="1:10" ht="14.95" customHeight="1">
      <c r="A205" s="414" t="s">
        <v>3211</v>
      </c>
      <c r="B205" s="737">
        <f>'Аксессуары (2)'!B205*1.3*($K$2/100+1)</f>
        <v>454.41653399999996</v>
      </c>
      <c r="C205" s="737">
        <f>'Аксессуары (2)'!C205*1.3*($K$2/100+1)</f>
        <v>504.90725999999995</v>
      </c>
      <c r="D205" s="737">
        <f>'Аксессуары (2)'!D205*1.3*($K$2/100+1)</f>
        <v>555.39798600000006</v>
      </c>
      <c r="E205" s="737">
        <f>'Аксессуары (2)'!E205*1.6*($K$2/100+1)</f>
        <v>745.70918399999982</v>
      </c>
      <c r="F205" s="737">
        <f>'Аксессуары (2)'!F205*1.6*($K$2/100+1)</f>
        <v>820.28010239999992</v>
      </c>
      <c r="G205" s="737">
        <f>'Аксессуары (2)'!G205*1.6*($K$2/100+1)</f>
        <v>894.85102079999967</v>
      </c>
      <c r="H205" s="738">
        <f>'Аксессуары (2)'!H205*1.8*($K$2/100+1)</f>
        <v>1398.20472</v>
      </c>
      <c r="I205" s="738">
        <f>'Аксессуары (2)'!J205*1.5*($K$2/100+1)</f>
        <v>1747.7559000000001</v>
      </c>
      <c r="J205" s="739">
        <f>'Аксессуары (2)'!J205*1.8*($K$2/100+1)</f>
        <v>2097.30708</v>
      </c>
    </row>
    <row r="206" spans="1:10" ht="14.95" customHeight="1">
      <c r="A206" s="414" t="s">
        <v>3212</v>
      </c>
      <c r="B206" s="737">
        <f>'Аксессуары (2)'!B206*1.3*($K$2/100+1)</f>
        <v>489.55163400000004</v>
      </c>
      <c r="C206" s="737">
        <f>'Аксессуары (2)'!C206*1.3*($K$2/100+1)</f>
        <v>543.94625999999994</v>
      </c>
      <c r="D206" s="737">
        <f>'Аксессуары (2)'!D206*1.3*($K$2/100+1)</f>
        <v>598.34088600000007</v>
      </c>
      <c r="E206" s="737">
        <f>'Аксессуары (2)'!E206*1.6*($K$2/100+1)</f>
        <v>803.36678399999994</v>
      </c>
      <c r="F206" s="737">
        <f>'Аксессуары (2)'!F206*1.6*($K$2/100+1)</f>
        <v>883.70346239999992</v>
      </c>
      <c r="G206" s="737">
        <f>'Аксессуары (2)'!G206*1.6*($K$2/100+1)</f>
        <v>964.04014079999979</v>
      </c>
      <c r="H206" s="738">
        <f>'Аксессуары (2)'!H206*1.8*($K$2/100+1)</f>
        <v>1506.3127199999999</v>
      </c>
      <c r="I206" s="738">
        <f>'Аксессуары (2)'!J206*1.5*($K$2/100+1)</f>
        <v>1882.8908999999999</v>
      </c>
      <c r="J206" s="739">
        <f>'Аксессуары (2)'!J206*1.8*($K$2/100+1)</f>
        <v>2259.4690799999998</v>
      </c>
    </row>
    <row r="207" spans="1:10" ht="14.95" customHeight="1">
      <c r="A207" s="414" t="s">
        <v>3213</v>
      </c>
      <c r="B207" s="737">
        <f>'Аксессуары (2)'!B207*1.3*($K$2/100+1)</f>
        <v>458.10571950000002</v>
      </c>
      <c r="C207" s="737">
        <f>'Аксессуары (2)'!C207*1.3*($K$2/100+1)</f>
        <v>509.00635499999999</v>
      </c>
      <c r="D207" s="737">
        <f>'Аксессуары (2)'!D207*1.3*($K$2/100+1)</f>
        <v>559.90699050000001</v>
      </c>
      <c r="E207" s="737">
        <f>'Аксессуары (2)'!E207*1.6*($K$2/100+1)</f>
        <v>751.7632319999999</v>
      </c>
      <c r="F207" s="737">
        <f>'Аксессуары (2)'!F207*1.6*($K$2/100+1)</f>
        <v>826.93955520000009</v>
      </c>
      <c r="G207" s="737">
        <f>'Аксессуары (2)'!G207*1.6*($K$2/100+1)</f>
        <v>902.11587839999981</v>
      </c>
      <c r="H207" s="738">
        <f>'Аксессуары (2)'!H207*1.8*($K$2/100+1)</f>
        <v>1409.5560599999999</v>
      </c>
      <c r="I207" s="738">
        <f>'Аксессуары (2)'!J207*1.5*($K$2/100+1)</f>
        <v>1761.9450749999996</v>
      </c>
      <c r="J207" s="739">
        <f>'Аксессуары (2)'!J207*1.8*($K$2/100+1)</f>
        <v>2114.3340899999998</v>
      </c>
    </row>
    <row r="208" spans="1:10" ht="14.95" customHeight="1">
      <c r="A208" s="414" t="s">
        <v>3214</v>
      </c>
      <c r="B208" s="737">
        <f>'Аксессуары (2)'!B208*1.3*($K$2/100+1)</f>
        <v>467.24084549999998</v>
      </c>
      <c r="C208" s="737">
        <f>'Аксессуары (2)'!C208*1.3*($K$2/100+1)</f>
        <v>519.15649499999995</v>
      </c>
      <c r="D208" s="737">
        <f>'Аксессуары (2)'!D208*1.3*($K$2/100+1)</f>
        <v>571.07214449999992</v>
      </c>
      <c r="E208" s="737">
        <f>'Аксессуары (2)'!E208*1.6*($K$2/100+1)</f>
        <v>766.75420799999984</v>
      </c>
      <c r="F208" s="737">
        <f>'Аксессуары (2)'!F208*1.6*($K$2/100+1)</f>
        <v>843.42962880000005</v>
      </c>
      <c r="G208" s="737">
        <f>'Аксессуары (2)'!G208*1.6*($K$2/100+1)</f>
        <v>920.10504959999969</v>
      </c>
      <c r="H208" s="738">
        <f>'Аксессуары (2)'!H208*1.8*($K$2/100+1)</f>
        <v>1437.6641399999996</v>
      </c>
      <c r="I208" s="738">
        <f>'Аксессуары (2)'!J208*1.5*($K$2/100+1)</f>
        <v>1797.0801749999998</v>
      </c>
      <c r="J208" s="739">
        <f>'Аксессуары (2)'!J208*1.8*($K$2/100+1)</f>
        <v>2156.4962099999998</v>
      </c>
    </row>
    <row r="209" spans="1:10" ht="14.95" customHeight="1">
      <c r="A209" s="414" t="s">
        <v>3215</v>
      </c>
      <c r="B209" s="737">
        <f>'Аксессуары (2)'!B209*1.3*($K$2/100+1)</f>
        <v>466.71381899999994</v>
      </c>
      <c r="C209" s="737">
        <f>'Аксессуары (2)'!C209*1.3*($K$2/100+1)</f>
        <v>518.57090999999991</v>
      </c>
      <c r="D209" s="737">
        <f>'Аксессуары (2)'!D209*1.3*($K$2/100+1)</f>
        <v>570.42800099999999</v>
      </c>
      <c r="E209" s="737">
        <f>'Аксессуары (2)'!E209*1.6*($K$2/100+1)</f>
        <v>765.88934399999994</v>
      </c>
      <c r="F209" s="737">
        <f>'Аксессуары (2)'!F209*1.6*($K$2/100+1)</f>
        <v>842.47827840000002</v>
      </c>
      <c r="G209" s="737">
        <f>'Аксессуары (2)'!G209*1.6*($K$2/100+1)</f>
        <v>919.06721279999988</v>
      </c>
      <c r="H209" s="738">
        <f>'Аксессуары (2)'!H209*1.8*($K$2/100+1)</f>
        <v>1436.04252</v>
      </c>
      <c r="I209" s="738">
        <f>'Аксессуары (2)'!J209*1.5*($K$2/100+1)</f>
        <v>1795.0531499999997</v>
      </c>
      <c r="J209" s="739">
        <f>'Аксессуары (2)'!J209*1.8*($K$2/100+1)</f>
        <v>2154.0637799999995</v>
      </c>
    </row>
    <row r="210" spans="1:10" ht="14.95" customHeight="1">
      <c r="A210" s="414" t="s">
        <v>3216</v>
      </c>
      <c r="B210" s="737">
        <f>'Аксессуары (2)'!B210*1.3*($K$2/100+1)</f>
        <v>484.80839549999996</v>
      </c>
      <c r="C210" s="737">
        <f>'Аксессуары (2)'!C210*1.3*($K$2/100+1)</f>
        <v>538.67599499999994</v>
      </c>
      <c r="D210" s="737">
        <f>'Аксессуары (2)'!D210*1.3*($K$2/100+1)</f>
        <v>592.54359450000004</v>
      </c>
      <c r="E210" s="737">
        <f>'Аксессуары (2)'!E210*1.6*($K$2/100+1)</f>
        <v>795.58300799999995</v>
      </c>
      <c r="F210" s="737">
        <f>'Аксессуары (2)'!F210*1.6*($K$2/100+1)</f>
        <v>875.14130879999982</v>
      </c>
      <c r="G210" s="737">
        <f>'Аксессуары (2)'!G210*1.6*($K$2/100+1)</f>
        <v>954.69960959999992</v>
      </c>
      <c r="H210" s="738">
        <f>'Аксессуары (2)'!H210*1.8*($K$2/100+1)</f>
        <v>1491.7181399999999</v>
      </c>
      <c r="I210" s="738">
        <f>'Аксессуары (2)'!J210*1.5*($K$2/100+1)</f>
        <v>1864.6476749999999</v>
      </c>
      <c r="J210" s="739">
        <f>'Аксессуары (2)'!J210*1.8*($K$2/100+1)</f>
        <v>2237.5772099999999</v>
      </c>
    </row>
    <row r="211" spans="1:10" ht="14.95" customHeight="1">
      <c r="A211" s="414" t="s">
        <v>3217</v>
      </c>
      <c r="B211" s="737">
        <f>'Аксессуары (2)'!B211*1.3*($K$2/100+1)</f>
        <v>502.72729650000002</v>
      </c>
      <c r="C211" s="737">
        <f>'Аксессуары (2)'!C211*1.3*($K$2/100+1)</f>
        <v>558.58588499999996</v>
      </c>
      <c r="D211" s="737">
        <f>'Аксессуары (2)'!D211*1.3*($K$2/100+1)</f>
        <v>614.44447350000007</v>
      </c>
      <c r="E211" s="737">
        <f>'Аксессуары (2)'!E211*1.6*($K$2/100+1)</f>
        <v>824.988384</v>
      </c>
      <c r="F211" s="737">
        <f>'Аксессуары (2)'!F211*1.6*($K$2/100+1)</f>
        <v>907.48722240000018</v>
      </c>
      <c r="G211" s="737">
        <f>'Аксессуары (2)'!G211*1.6*($K$2/100+1)</f>
        <v>989.98606080000002</v>
      </c>
      <c r="H211" s="738">
        <f>'Аксессуары (2)'!H211*1.8*($K$2/100+1)</f>
        <v>1546.85322</v>
      </c>
      <c r="I211" s="738">
        <f>'Аксессуары (2)'!J211*1.5*($K$2/100+1)</f>
        <v>1933.566525</v>
      </c>
      <c r="J211" s="739">
        <f>'Аксессуары (2)'!J211*1.8*($K$2/100+1)</f>
        <v>2320.2798300000004</v>
      </c>
    </row>
    <row r="212" spans="1:10" ht="14.95" customHeight="1">
      <c r="A212" s="414" t="s">
        <v>3218</v>
      </c>
      <c r="B212" s="737">
        <f>'Аксессуары (2)'!B212*1.3*($K$2/100+1)</f>
        <v>548.05157550000001</v>
      </c>
      <c r="C212" s="737">
        <f>'Аксессуары (2)'!C212*1.3*($K$2/100+1)</f>
        <v>608.94619499999988</v>
      </c>
      <c r="D212" s="737">
        <f>'Аксессуары (2)'!D212*1.3*($K$2/100+1)</f>
        <v>669.84081449999996</v>
      </c>
      <c r="E212" s="737">
        <f>'Аксессуары (2)'!E212*1.6*($K$2/100+1)</f>
        <v>899.36668799999984</v>
      </c>
      <c r="F212" s="737">
        <f>'Аксессуары (2)'!F212*1.6*($K$2/100+1)</f>
        <v>989.30335679999985</v>
      </c>
      <c r="G212" s="737">
        <f>'Аксессуары (2)'!G212*1.6*($K$2/100+1)</f>
        <v>1079.2400255999999</v>
      </c>
      <c r="H212" s="738">
        <f>'Аксессуары (2)'!H212*1.8*($K$2/100+1)</f>
        <v>1686.3125399999997</v>
      </c>
      <c r="I212" s="738">
        <f>'Аксессуары (2)'!J212*1.5*($K$2/100+1)</f>
        <v>2107.8906749999996</v>
      </c>
      <c r="J212" s="739">
        <f>'Аксессуары (2)'!J212*1.8*($K$2/100+1)</f>
        <v>2529.4688099999998</v>
      </c>
    </row>
    <row r="213" spans="1:10" ht="14.95" customHeight="1">
      <c r="A213" s="414" t="s">
        <v>3219</v>
      </c>
      <c r="B213" s="737">
        <f>'Аксессуары (2)'!B213*1.3*($K$2/100+1)</f>
        <v>583.01099999999997</v>
      </c>
      <c r="C213" s="737">
        <f>'Аксессуары (2)'!C213*1.3*($K$2/100+1)</f>
        <v>647.79</v>
      </c>
      <c r="D213" s="737">
        <f>'Аксессуары (2)'!D213*1.3*($K$2/100+1)</f>
        <v>712.56900000000007</v>
      </c>
      <c r="E213" s="737">
        <f>'Аксессуары (2)'!E213*1.6*($K$2/100+1)</f>
        <v>956.73599999999999</v>
      </c>
      <c r="F213" s="737">
        <f>'Аксессуары (2)'!F213*1.6*($K$2/100+1)</f>
        <v>1052.4096</v>
      </c>
      <c r="G213" s="737">
        <f>'Аксессуары (2)'!G213*1.6*($K$2/100+1)</f>
        <v>1148.0832</v>
      </c>
      <c r="H213" s="738">
        <f>'Аксессуары (2)'!H213*1.8*($K$2/100+1)</f>
        <v>1793.8799999999999</v>
      </c>
      <c r="I213" s="738">
        <f>'Аксессуары (2)'!J213*1.5*($K$2/100+1)</f>
        <v>2242.35</v>
      </c>
      <c r="J213" s="739">
        <f>'Аксессуары (2)'!J213*1.8*($K$2/100+1)</f>
        <v>2690.8199999999997</v>
      </c>
    </row>
    <row r="214" spans="1:10" ht="14.95" customHeight="1">
      <c r="A214" s="414" t="s">
        <v>3220</v>
      </c>
      <c r="B214" s="737">
        <f>'Аксессуары (2)'!B214*1.3*($K$2/100+1)</f>
        <v>537.68672100000003</v>
      </c>
      <c r="C214" s="737">
        <f>'Аксессуары (2)'!C214*1.3*($K$2/100+1)</f>
        <v>597.42968999999994</v>
      </c>
      <c r="D214" s="737">
        <f>'Аксессуары (2)'!D214*1.3*($K$2/100+1)</f>
        <v>657.17265900000007</v>
      </c>
      <c r="E214" s="737">
        <f>'Аксессуары (2)'!E214*1.6*($K$2/100+1)</f>
        <v>882.35769599999981</v>
      </c>
      <c r="F214" s="737">
        <f>'Аксессуары (2)'!F214*1.6*($K$2/100+1)</f>
        <v>970.59346559999994</v>
      </c>
      <c r="G214" s="737">
        <f>'Аксессуары (2)'!G214*1.6*($K$2/100+1)</f>
        <v>1058.8292352000001</v>
      </c>
      <c r="H214" s="738">
        <f>'Аксессуары (2)'!H214*1.8*($K$2/100+1)</f>
        <v>1654.4206799999999</v>
      </c>
      <c r="I214" s="738">
        <f>'Аксессуары (2)'!J214*1.5*($K$2/100+1)</f>
        <v>2068.02585</v>
      </c>
      <c r="J214" s="739">
        <f>'Аксессуары (2)'!J214*1.8*($K$2/100+1)</f>
        <v>2481.6310199999998</v>
      </c>
    </row>
    <row r="215" spans="1:10" ht="14.95" customHeight="1">
      <c r="A215" s="414" t="s">
        <v>3221</v>
      </c>
      <c r="B215" s="737">
        <f>'Аксессуары (2)'!B215*1.3*($K$2/100+1)</f>
        <v>547.87589999999989</v>
      </c>
      <c r="C215" s="737">
        <f>'Аксессуары (2)'!C215*1.3*($K$2/100+1)</f>
        <v>608.75099999999986</v>
      </c>
      <c r="D215" s="737">
        <f>'Аксессуары (2)'!D215*1.3*($K$2/100+1)</f>
        <v>669.62609999999984</v>
      </c>
      <c r="E215" s="737">
        <f>'Аксессуары (2)'!E215*1.6*($K$2/100+1)</f>
        <v>899.07839999999987</v>
      </c>
      <c r="F215" s="737">
        <f>'Аксессуары (2)'!F215*1.6*($K$2/100+1)</f>
        <v>988.98623999999984</v>
      </c>
      <c r="G215" s="737">
        <f>'Аксессуары (2)'!G215*1.6*($K$2/100+1)</f>
        <v>1078.8940799999998</v>
      </c>
      <c r="H215" s="738">
        <f>'Аксессуары (2)'!H215*1.8*($K$2/100+1)</f>
        <v>1685.7719999999997</v>
      </c>
      <c r="I215" s="738">
        <f>'Аксессуары (2)'!J215*1.5*($K$2/100+1)</f>
        <v>2107.2149999999997</v>
      </c>
      <c r="J215" s="739">
        <f>'Аксессуары (2)'!J215*1.8*($K$2/100+1)</f>
        <v>2528.6579999999994</v>
      </c>
    </row>
    <row r="216" spans="1:10" ht="14.95" customHeight="1">
      <c r="A216" s="414" t="s">
        <v>3222</v>
      </c>
      <c r="B216" s="737">
        <f>'Аксессуары (2)'!B216*1.3*($K$2/100+1)</f>
        <v>556.65967500000011</v>
      </c>
      <c r="C216" s="737">
        <f>'Аксессуары (2)'!C216*1.3*($K$2/100+1)</f>
        <v>618.51075000000003</v>
      </c>
      <c r="D216" s="737">
        <f>'Аксессуары (2)'!D216*1.3*($K$2/100+1)</f>
        <v>680.36182500000007</v>
      </c>
      <c r="E216" s="737">
        <f>'Аксессуары (2)'!E216*1.6*($K$2/100+1)</f>
        <v>913.4928000000001</v>
      </c>
      <c r="F216" s="737">
        <f>'Аксессуары (2)'!F216*1.6*($K$2/100+1)</f>
        <v>1004.8420800000002</v>
      </c>
      <c r="G216" s="737">
        <f>'Аксессуары (2)'!G216*1.6*($K$2/100+1)</f>
        <v>1096.19136</v>
      </c>
      <c r="H216" s="738">
        <f>'Аксессуары (2)'!H216*1.8*($K$2/100+1)</f>
        <v>1712.7990000000002</v>
      </c>
      <c r="I216" s="738">
        <f>'Аксессуары (2)'!J216*1.5*($K$2/100+1)</f>
        <v>2140.9987499999997</v>
      </c>
      <c r="J216" s="739">
        <f>'Аксессуары (2)'!J216*1.8*($K$2/100+1)</f>
        <v>2569.1985</v>
      </c>
    </row>
    <row r="217" spans="1:10" ht="14.95" customHeight="1">
      <c r="A217" s="414" t="s">
        <v>3223</v>
      </c>
      <c r="B217" s="737">
        <f>'Аксессуары (2)'!B217*1.3*($K$2/100+1)</f>
        <v>565.44344999999998</v>
      </c>
      <c r="C217" s="737">
        <f>'Аксессуары (2)'!C217*1.3*($K$2/100+1)</f>
        <v>628.27049999999997</v>
      </c>
      <c r="D217" s="737">
        <f>'Аксессуары (2)'!D217*1.3*($K$2/100+1)</f>
        <v>691.09755000000007</v>
      </c>
      <c r="E217" s="737">
        <f>'Аксессуары (2)'!E217*1.6*($K$2/100+1)</f>
        <v>927.90719999999988</v>
      </c>
      <c r="F217" s="737">
        <f>'Аксессуары (2)'!F217*1.6*($K$2/100+1)</f>
        <v>1020.6979200000001</v>
      </c>
      <c r="G217" s="737">
        <f>'Аксессуары (2)'!G217*1.6*($K$2/100+1)</f>
        <v>1113.4886399999998</v>
      </c>
      <c r="H217" s="738">
        <f>'Аксессуары (2)'!H217*1.8*($K$2/100+1)</f>
        <v>1739.826</v>
      </c>
      <c r="I217" s="738">
        <f>'Аксессуары (2)'!J217*1.5*($K$2/100+1)</f>
        <v>2174.7824999999998</v>
      </c>
      <c r="J217" s="739">
        <f>'Аксессуары (2)'!J217*1.8*($K$2/100+1)</f>
        <v>2609.7389999999996</v>
      </c>
    </row>
    <row r="218" spans="1:10" ht="14.95" customHeight="1">
      <c r="A218" s="414" t="s">
        <v>3224</v>
      </c>
      <c r="B218" s="737">
        <f>'Аксессуары (2)'!B218*1.3*($K$2/100+1)</f>
        <v>588.45694049999997</v>
      </c>
      <c r="C218" s="737">
        <f>'Аксессуары (2)'!C218*1.3*($K$2/100+1)</f>
        <v>653.84104500000001</v>
      </c>
      <c r="D218" s="737">
        <f>'Аксессуары (2)'!D218*1.3*($K$2/100+1)</f>
        <v>719.22514950000004</v>
      </c>
      <c r="E218" s="737">
        <f>'Аксессуары (2)'!E218*1.6*($K$2/100+1)</f>
        <v>965.67292800000007</v>
      </c>
      <c r="F218" s="737">
        <f>'Аксессуары (2)'!F218*1.6*($K$2/100+1)</f>
        <v>1062.2402208000001</v>
      </c>
      <c r="G218" s="737">
        <f>'Аксессуары (2)'!G218*1.6*($K$2/100+1)</f>
        <v>1158.8075136000002</v>
      </c>
      <c r="H218" s="738">
        <f>'Аксессуары (2)'!H218*1.8*($K$2/100+1)</f>
        <v>1810.6367400000001</v>
      </c>
      <c r="I218" s="738">
        <f>'Аксессуары (2)'!J218*1.5*($K$2/100+1)</f>
        <v>2263.2959249999999</v>
      </c>
      <c r="J218" s="739">
        <f>'Аксессуары (2)'!J218*1.8*($K$2/100+1)</f>
        <v>2715.9551100000003</v>
      </c>
    </row>
    <row r="219" spans="1:10" ht="14.95" customHeight="1">
      <c r="A219" s="414" t="s">
        <v>3225</v>
      </c>
      <c r="B219" s="737">
        <f>'Аксессуары (2)'!B219*1.3*($K$2/100+1)</f>
        <v>618.14610000000005</v>
      </c>
      <c r="C219" s="737">
        <f>'Аксессуары (2)'!C219*1.3*($K$2/100+1)</f>
        <v>686.82899999999995</v>
      </c>
      <c r="D219" s="737">
        <f>'Аксессуары (2)'!D219*1.3*($K$2/100+1)</f>
        <v>755.51189999999997</v>
      </c>
      <c r="E219" s="737">
        <f>'Аксессуары (2)'!E219*1.6*($K$2/100+1)</f>
        <v>1014.3935999999999</v>
      </c>
      <c r="F219" s="737">
        <f>'Аксессуары (2)'!F219*1.6*($K$2/100+1)</f>
        <v>1115.83296</v>
      </c>
      <c r="G219" s="737">
        <f>'Аксессуары (2)'!G219*1.6*($K$2/100+1)</f>
        <v>1217.2723199999998</v>
      </c>
      <c r="H219" s="738">
        <f>'Аксессуары (2)'!H219*1.8*($K$2/100+1)</f>
        <v>1901.9879999999998</v>
      </c>
      <c r="I219" s="738">
        <f>'Аксессуары (2)'!J219*1.5*($K$2/100+1)</f>
        <v>2377.4849999999997</v>
      </c>
      <c r="J219" s="739">
        <f>'Аксессуары (2)'!J219*1.8*($K$2/100+1)</f>
        <v>2852.9819999999995</v>
      </c>
    </row>
    <row r="220" spans="1:10" ht="14.95" customHeight="1" thickBot="1">
      <c r="A220" s="415" t="s">
        <v>3226</v>
      </c>
      <c r="B220" s="737">
        <f>'Аксессуары (2)'!B220*1.3*($K$2/100+1)</f>
        <v>653.28120000000001</v>
      </c>
      <c r="C220" s="737">
        <f>'Аксессуары (2)'!C220*1.3*($K$2/100+1)</f>
        <v>725.86799999999994</v>
      </c>
      <c r="D220" s="737">
        <f>'Аксессуары (2)'!D220*1.3*($K$2/100+1)</f>
        <v>798.45479999999998</v>
      </c>
      <c r="E220" s="737">
        <f>'Аксессуары (2)'!E220*1.6*($K$2/100+1)</f>
        <v>1072.0512000000001</v>
      </c>
      <c r="F220" s="737">
        <f>'Аксессуары (2)'!F220*1.6*($K$2/100+1)</f>
        <v>1179.25632</v>
      </c>
      <c r="G220" s="737">
        <f>'Аксессуары (2)'!G220*1.6*($K$2/100+1)</f>
        <v>1286.4614399999998</v>
      </c>
      <c r="H220" s="738">
        <f>'Аксессуары (2)'!H220*1.8*($K$2/100+1)</f>
        <v>2010.096</v>
      </c>
      <c r="I220" s="738">
        <f>'Аксессуары (2)'!J220*1.5*($K$2/100+1)</f>
        <v>2512.62</v>
      </c>
      <c r="J220" s="739">
        <f>'Аксессуары (2)'!J220*1.8*($K$2/100+1)</f>
        <v>3015.1439999999998</v>
      </c>
    </row>
    <row r="221" spans="1:10" s="254" customFormat="1" ht="14.95" customHeight="1" thickBot="1">
      <c r="A221" s="615" t="s">
        <v>3227</v>
      </c>
      <c r="B221" s="842"/>
      <c r="C221" s="843"/>
      <c r="D221" s="843"/>
      <c r="E221" s="843"/>
      <c r="F221" s="843"/>
      <c r="G221" s="843"/>
      <c r="H221" s="843"/>
      <c r="I221" s="843"/>
      <c r="J221" s="844"/>
    </row>
    <row r="222" spans="1:10" ht="14.95" customHeight="1">
      <c r="A222" s="423" t="s">
        <v>3228</v>
      </c>
      <c r="B222" s="737">
        <f>'Аксессуары (2)'!B222*1.3*($K$2/100+1)</f>
        <v>75.999924000000007</v>
      </c>
      <c r="C222" s="737">
        <f>'Аксессуары (2)'!C222*1.3*($K$2/100+1)</f>
        <v>84.444360000000003</v>
      </c>
      <c r="D222" s="737">
        <f>'Аксессуары (2)'!D222*1.3*($K$2/100+1)</f>
        <v>92.888796000000013</v>
      </c>
      <c r="E222" s="737">
        <f>'Аксессуары (2)'!E222*1.6*($K$2/100+1)</f>
        <v>124.71782400000001</v>
      </c>
      <c r="F222" s="737">
        <f>'Аксессуары (2)'!F222*1.6*($K$2/100+1)</f>
        <v>137.18960640000003</v>
      </c>
      <c r="G222" s="737">
        <f>'Аксессуары (2)'!G222*1.6*($K$2/100+1)</f>
        <v>149.66138879999997</v>
      </c>
      <c r="H222" s="738">
        <f>'Аксессуары (2)'!H222*1.8*($K$2/100+1)</f>
        <v>233.84592000000001</v>
      </c>
      <c r="I222" s="738">
        <f>'Аксессуары (2)'!J222*1.48*($K$2/100+1)</f>
        <v>288.40996799999999</v>
      </c>
      <c r="J222" s="739">
        <f>'Аксессуары (2)'!J222*1.8*($K$2/100+1)</f>
        <v>350.76888000000002</v>
      </c>
    </row>
    <row r="223" spans="1:10" ht="14.95" customHeight="1">
      <c r="A223" s="414" t="s">
        <v>3229</v>
      </c>
      <c r="B223" s="737">
        <f>'Аксессуары (2)'!B223*1.3*($K$2/100+1)</f>
        <v>79.864785000000012</v>
      </c>
      <c r="C223" s="737">
        <f>'Аксессуары (2)'!C223*1.3*($K$2/100+1)</f>
        <v>88.738650000000007</v>
      </c>
      <c r="D223" s="737">
        <f>'Аксессуары (2)'!D223*1.3*($K$2/100+1)</f>
        <v>97.612515000000016</v>
      </c>
      <c r="E223" s="737">
        <f>'Аксессуары (2)'!E223*1.6*($K$2/100+1)</f>
        <v>131.06016000000002</v>
      </c>
      <c r="F223" s="737">
        <f>'Аксессуары (2)'!F223*1.6*($K$2/100+1)</f>
        <v>144.16617600000001</v>
      </c>
      <c r="G223" s="737">
        <f>'Аксессуары (2)'!G223*1.6*($K$2/100+1)</f>
        <v>157.27219200000002</v>
      </c>
      <c r="H223" s="738">
        <f>'Аксессуары (2)'!H223*1.8*($K$2/100+1)</f>
        <v>245.73780000000002</v>
      </c>
      <c r="I223" s="738">
        <f>'Аксессуары (2)'!J223*1.48*($K$2/100+1)</f>
        <v>303.07661999999999</v>
      </c>
      <c r="J223" s="739">
        <f>'Аксессуары (2)'!J223*1.8*($K$2/100+1)</f>
        <v>368.60670000000005</v>
      </c>
    </row>
    <row r="224" spans="1:10" ht="14.95" customHeight="1">
      <c r="A224" s="414" t="s">
        <v>3230</v>
      </c>
      <c r="B224" s="737">
        <f>'Аксессуары (2)'!B224*1.3*($K$2/100+1)</f>
        <v>86.71612949999998</v>
      </c>
      <c r="C224" s="737">
        <f>'Аксессуары (2)'!C224*1.3*($K$2/100+1)</f>
        <v>96.351254999999995</v>
      </c>
      <c r="D224" s="737">
        <f>'Аксессуары (2)'!D224*1.3*($K$2/100+1)</f>
        <v>105.98638050000001</v>
      </c>
      <c r="E224" s="737">
        <f>'Аксессуары (2)'!E224*1.6*($K$2/100+1)</f>
        <v>142.30339199999997</v>
      </c>
      <c r="F224" s="737">
        <f>'Аксессуары (2)'!F224*1.6*($K$2/100+1)</f>
        <v>156.53373119999998</v>
      </c>
      <c r="G224" s="737">
        <f>'Аксессуары (2)'!G224*1.6*($K$2/100+1)</f>
        <v>170.76407039999998</v>
      </c>
      <c r="H224" s="738">
        <f>'Аксессуары (2)'!H224*1.8*($K$2/100+1)</f>
        <v>266.81885999999997</v>
      </c>
      <c r="I224" s="738">
        <f>'Аксессуары (2)'!J224*1.48*($K$2/100+1)</f>
        <v>329.076594</v>
      </c>
      <c r="J224" s="739">
        <f>'Аксессуары (2)'!J224*1.8*($K$2/100+1)</f>
        <v>400.22828999999996</v>
      </c>
    </row>
    <row r="225" spans="1:10" ht="14.95" customHeight="1">
      <c r="A225" s="414" t="s">
        <v>3231</v>
      </c>
      <c r="B225" s="737">
        <f>'Аксессуары (2)'!B225*1.3*($K$2/100+1)</f>
        <v>94.270175999999992</v>
      </c>
      <c r="C225" s="737">
        <f>'Аксессуары (2)'!C225*1.3*($K$2/100+1)</f>
        <v>104.74463999999999</v>
      </c>
      <c r="D225" s="737">
        <f>'Аксессуары (2)'!D225*1.3*($K$2/100+1)</f>
        <v>115.21910399999999</v>
      </c>
      <c r="E225" s="737">
        <f>'Аксессуары (2)'!E225*1.6*($K$2/100+1)</f>
        <v>154.69977599999999</v>
      </c>
      <c r="F225" s="737">
        <f>'Аксессуары (2)'!F225*1.6*($K$2/100+1)</f>
        <v>170.16975359999998</v>
      </c>
      <c r="G225" s="737">
        <f>'Аксессуары (2)'!G225*1.6*($K$2/100+1)</f>
        <v>185.63973119999994</v>
      </c>
      <c r="H225" s="738">
        <f>'Аксессуары (2)'!H225*1.8*($K$2/100+1)</f>
        <v>290.06207999999998</v>
      </c>
      <c r="I225" s="738">
        <f>'Аксессуары (2)'!J225*1.48*($K$2/100+1)</f>
        <v>357.74323199999992</v>
      </c>
      <c r="J225" s="739">
        <f>'Аксессуары (2)'!J225*1.8*($K$2/100+1)</f>
        <v>435.09311999999994</v>
      </c>
    </row>
    <row r="226" spans="1:10" ht="14.95" customHeight="1">
      <c r="A226" s="414" t="s">
        <v>3232</v>
      </c>
      <c r="B226" s="737">
        <f>'Аксессуары (2)'!B226*1.3*($K$2/100+1)</f>
        <v>101.64854699999999</v>
      </c>
      <c r="C226" s="737">
        <f>'Аксессуары (2)'!C226*1.3*($K$2/100+1)</f>
        <v>112.94282999999999</v>
      </c>
      <c r="D226" s="737">
        <f>'Аксессуары (2)'!D226*1.3*($K$2/100+1)</f>
        <v>124.23711299999999</v>
      </c>
      <c r="E226" s="737">
        <f>'Аксессуары (2)'!E226*1.6*($K$2/100+1)</f>
        <v>166.807872</v>
      </c>
      <c r="F226" s="737">
        <f>'Аксессуары (2)'!F226*1.6*($K$2/100+1)</f>
        <v>183.4886592</v>
      </c>
      <c r="G226" s="737">
        <f>'Аксессуары (2)'!G226*1.6*($K$2/100+1)</f>
        <v>200.1694464</v>
      </c>
      <c r="H226" s="738">
        <f>'Аксессуары (2)'!H226*1.8*($K$2/100+1)</f>
        <v>312.76475999999997</v>
      </c>
      <c r="I226" s="738">
        <f>'Аксессуары (2)'!J226*1.48*($K$2/100+1)</f>
        <v>385.74320399999993</v>
      </c>
      <c r="J226" s="739">
        <f>'Аксессуары (2)'!J226*1.8*($K$2/100+1)</f>
        <v>469.14713999999992</v>
      </c>
    </row>
    <row r="227" spans="1:10" ht="14.95" customHeight="1">
      <c r="A227" s="414" t="s">
        <v>3233</v>
      </c>
      <c r="B227" s="737">
        <f>'Аксессуары (2)'!B227*1.3*($K$2/100+1)</f>
        <v>102.7026</v>
      </c>
      <c r="C227" s="737">
        <f>'Аксессуары (2)'!C227*1.3*($K$2/100+1)</f>
        <v>114.11400000000002</v>
      </c>
      <c r="D227" s="737">
        <f>'Аксессуары (2)'!D227*1.3*($K$2/100+1)</f>
        <v>125.52540000000003</v>
      </c>
      <c r="E227" s="737">
        <f>'Аксессуары (2)'!E227*1.6*($K$2/100+1)</f>
        <v>168.5376</v>
      </c>
      <c r="F227" s="737">
        <f>'Аксессуары (2)'!F227*1.6*($K$2/100+1)</f>
        <v>185.39136000000002</v>
      </c>
      <c r="G227" s="737">
        <f>'Аксессуары (2)'!G227*1.6*($K$2/100+1)</f>
        <v>202.24512000000001</v>
      </c>
      <c r="H227" s="738">
        <f>'Аксессуары (2)'!H227*1.8*($K$2/100+1)</f>
        <v>316.00799999999998</v>
      </c>
      <c r="I227" s="738">
        <f>'Аксессуары (2)'!J227*1.48*($K$2/100+1)</f>
        <v>389.7432</v>
      </c>
      <c r="J227" s="739">
        <f>'Аксессуары (2)'!J227*1.8*($K$2/100+1)</f>
        <v>474.012</v>
      </c>
    </row>
    <row r="228" spans="1:10" ht="14.95" customHeight="1">
      <c r="A228" s="414" t="s">
        <v>3234</v>
      </c>
      <c r="B228" s="737">
        <f>'Аксессуары (2)'!B228*1.3*($K$2/100+1)</f>
        <v>116.405289</v>
      </c>
      <c r="C228" s="737">
        <f>'Аксессуары (2)'!C228*1.3*($K$2/100+1)</f>
        <v>129.33920999999998</v>
      </c>
      <c r="D228" s="737">
        <f>'Аксессуары (2)'!D228*1.3*($K$2/100+1)</f>
        <v>142.27313100000001</v>
      </c>
      <c r="E228" s="737">
        <f>'Аксессуары (2)'!E228*1.6*($K$2/100+1)</f>
        <v>191.02406400000001</v>
      </c>
      <c r="F228" s="737">
        <f>'Аксессуары (2)'!F228*1.6*($K$2/100+1)</f>
        <v>210.12647039999999</v>
      </c>
      <c r="G228" s="737">
        <f>'Аксессуары (2)'!G228*1.6*($K$2/100+1)</f>
        <v>229.22887679999999</v>
      </c>
      <c r="H228" s="738">
        <f>'Аксессуары (2)'!H228*1.8*($K$2/100+1)</f>
        <v>358.17012</v>
      </c>
      <c r="I228" s="738">
        <f>'Аксессуары (2)'!J228*1.48*($K$2/100+1)</f>
        <v>441.74314799999996</v>
      </c>
      <c r="J228" s="739">
        <f>'Аксессуары (2)'!J228*1.8*($K$2/100+1)</f>
        <v>537.25518</v>
      </c>
    </row>
    <row r="229" spans="1:10" ht="14.95" customHeight="1">
      <c r="A229" s="414" t="s">
        <v>3235</v>
      </c>
      <c r="B229" s="737">
        <f>'Аксессуары (2)'!B229*1.3*($K$2/100+1)</f>
        <v>131.16203099999998</v>
      </c>
      <c r="C229" s="737">
        <f>'Аксессуары (2)'!C229*1.3*($K$2/100+1)</f>
        <v>145.73558999999997</v>
      </c>
      <c r="D229" s="737">
        <f>'Аксессуары (2)'!D229*1.3*($K$2/100+1)</f>
        <v>160.30914899999999</v>
      </c>
      <c r="E229" s="737">
        <f>'Аксессуары (2)'!E229*1.6*($K$2/100+1)</f>
        <v>215.24025599999996</v>
      </c>
      <c r="F229" s="737">
        <f>'Аксессуары (2)'!F229*1.6*($K$2/100+1)</f>
        <v>236.7642816</v>
      </c>
      <c r="G229" s="737">
        <f>'Аксессуары (2)'!G229*1.6*($K$2/100+1)</f>
        <v>258.28830719999996</v>
      </c>
      <c r="H229" s="738">
        <f>'Аксессуары (2)'!H229*1.8*($K$2/100+1)</f>
        <v>403.57547999999997</v>
      </c>
      <c r="I229" s="738">
        <f>'Аксессуары (2)'!J229*1.48*($K$2/100+1)</f>
        <v>497.74309199999993</v>
      </c>
      <c r="J229" s="739">
        <f>'Аксессуары (2)'!J229*1.8*($K$2/100+1)</f>
        <v>605.36321999999984</v>
      </c>
    </row>
    <row r="230" spans="1:10" ht="14.95" customHeight="1" thickBot="1">
      <c r="A230" s="415" t="s">
        <v>3236</v>
      </c>
      <c r="B230" s="737">
        <f>'Аксессуары (2)'!B230*1.3*($K$2/100+1)</f>
        <v>146.09444849999997</v>
      </c>
      <c r="C230" s="737">
        <f>'Аксессуары (2)'!C230*1.3*($K$2/100+1)</f>
        <v>162.32716499999998</v>
      </c>
      <c r="D230" s="737">
        <f>'Аксессуары (2)'!D230*1.3*($K$2/100+1)</f>
        <v>178.55988149999999</v>
      </c>
      <c r="E230" s="737">
        <f>'Аксессуары (2)'!E230*1.6*($K$2/100+1)</f>
        <v>239.74473599999996</v>
      </c>
      <c r="F230" s="737">
        <f>'Аксессуары (2)'!F230*1.6*($K$2/100+1)</f>
        <v>263.7192096</v>
      </c>
      <c r="G230" s="737">
        <f>'Аксессуары (2)'!G230*1.6*($K$2/100+1)</f>
        <v>287.6936831999999</v>
      </c>
      <c r="H230" s="738">
        <f>'Аксессуары (2)'!H230*1.8*($K$2/100+1)</f>
        <v>449.52137999999991</v>
      </c>
      <c r="I230" s="738">
        <f>'Аксессуары (2)'!J230*1.48*($K$2/100+1)</f>
        <v>554.40970199999992</v>
      </c>
      <c r="J230" s="739">
        <f>'Аксессуары (2)'!J230*1.8*($K$2/100+1)</f>
        <v>674.28206999999986</v>
      </c>
    </row>
    <row r="231" spans="1:10" s="254" customFormat="1" ht="14.95" customHeight="1" thickBot="1">
      <c r="A231" s="615" t="s">
        <v>3066</v>
      </c>
      <c r="B231" s="842"/>
      <c r="C231" s="843"/>
      <c r="D231" s="843"/>
      <c r="E231" s="843"/>
      <c r="F231" s="843"/>
      <c r="G231" s="843"/>
      <c r="H231" s="843"/>
      <c r="I231" s="843"/>
      <c r="J231" s="844"/>
    </row>
    <row r="232" spans="1:10" ht="14.95" customHeight="1">
      <c r="A232" s="423" t="s">
        <v>3067</v>
      </c>
      <c r="B232" s="737">
        <f>'Аксессуары (2)'!B232*1.3*($K$2/100+1)</f>
        <v>265.03834499999999</v>
      </c>
      <c r="C232" s="737">
        <f>'Аксессуары (2)'!C232*1.3*($K$2/100+1)</f>
        <v>294.48705000000001</v>
      </c>
      <c r="D232" s="737">
        <f>'Аксессуары (2)'!D232*1.3*($K$2/100+1)</f>
        <v>323.93575499999997</v>
      </c>
      <c r="E232" s="737">
        <f>'Аксессуары (2)'!E232*1.6*($K$2/100+1)</f>
        <v>434.93471999999991</v>
      </c>
      <c r="F232" s="737">
        <f>'Аксессуары (2)'!F232*1.6*($K$2/100+1)</f>
        <v>478.42819199999997</v>
      </c>
      <c r="G232" s="737">
        <f>'Аксессуары (2)'!G232*1.6*($K$2/100+1)</f>
        <v>521.92166399999996</v>
      </c>
      <c r="H232" s="738">
        <f>'Аксессуары (2)'!H232*1.8*($K$2/100+1)</f>
        <v>815.50259999999992</v>
      </c>
      <c r="I232" s="738">
        <f>'Аксессуары (2)'!J232*1.5*($K$2/100+1)</f>
        <v>1019.3782500000001</v>
      </c>
      <c r="J232" s="739">
        <f>'Аксессуары (2)'!J232*1.8*($K$2/100+1)</f>
        <v>1223.2538999999999</v>
      </c>
    </row>
    <row r="233" spans="1:10" ht="14.95" customHeight="1">
      <c r="A233" s="414" t="s">
        <v>3068</v>
      </c>
      <c r="B233" s="737">
        <f>'Аксессуары (2)'!B233*1.3*($K$2/100+1)</f>
        <v>271.53833850000007</v>
      </c>
      <c r="C233" s="737">
        <f>'Аксессуары (2)'!C233*1.3*($K$2/100+1)</f>
        <v>301.70926500000002</v>
      </c>
      <c r="D233" s="737">
        <f>'Аксессуары (2)'!D233*1.3*($K$2/100+1)</f>
        <v>331.88019150000008</v>
      </c>
      <c r="E233" s="737">
        <f>'Аксессуары (2)'!E233*1.6*($K$2/100+1)</f>
        <v>445.60137599999996</v>
      </c>
      <c r="F233" s="737">
        <f>'Аксессуары (2)'!F233*1.6*($K$2/100+1)</f>
        <v>490.16151360000009</v>
      </c>
      <c r="G233" s="737">
        <f>'Аксессуары (2)'!G233*1.6*($K$2/100+1)</f>
        <v>534.7216512</v>
      </c>
      <c r="H233" s="738">
        <f>'Аксессуары (2)'!H233*1.8*($K$2/100+1)</f>
        <v>835.50258000000008</v>
      </c>
      <c r="I233" s="738">
        <f>'Аксессуары (2)'!J233*1.5*($K$2/100+1)</f>
        <v>1044.3782249999999</v>
      </c>
      <c r="J233" s="739">
        <f>'Аксессуары (2)'!J233*1.8*($K$2/100+1)</f>
        <v>1253.25387</v>
      </c>
    </row>
    <row r="234" spans="1:10" ht="14.95" customHeight="1">
      <c r="A234" s="414" t="s">
        <v>3069</v>
      </c>
      <c r="B234" s="737">
        <f>'Аксессуары (2)'!B234*1.3*($K$2/100+1)</f>
        <v>273.29509350000001</v>
      </c>
      <c r="C234" s="737">
        <f>'Аксессуары (2)'!C234*1.3*($K$2/100+1)</f>
        <v>303.66121500000003</v>
      </c>
      <c r="D234" s="737">
        <f>'Аксессуары (2)'!D234*1.3*($K$2/100+1)</f>
        <v>334.02733650000005</v>
      </c>
      <c r="E234" s="737">
        <f>'Аксессуары (2)'!E234*1.6*($K$2/100+1)</f>
        <v>448.48425600000002</v>
      </c>
      <c r="F234" s="737">
        <f>'Аксессуары (2)'!F234*1.6*($K$2/100+1)</f>
        <v>493.3326816</v>
      </c>
      <c r="G234" s="737">
        <f>'Аксессуары (2)'!G234*1.6*($K$2/100+1)</f>
        <v>538.18110720000004</v>
      </c>
      <c r="H234" s="738">
        <f>'Аксессуары (2)'!H234*1.8*($K$2/100+1)</f>
        <v>840.90797999999995</v>
      </c>
      <c r="I234" s="738">
        <f>'Аксессуары (2)'!J234*1.5*($K$2/100+1)</f>
        <v>1051.1349749999999</v>
      </c>
      <c r="J234" s="739">
        <f>'Аксессуары (2)'!J234*1.8*($K$2/100+1)</f>
        <v>1261.3619699999999</v>
      </c>
    </row>
    <row r="235" spans="1:10" ht="14.95" customHeight="1">
      <c r="A235" s="414" t="s">
        <v>3070</v>
      </c>
      <c r="B235" s="737">
        <f>'Аксессуары (2)'!B235*1.3*($K$2/100+1)</f>
        <v>267.32212650000002</v>
      </c>
      <c r="C235" s="737">
        <f>'Аксессуары (2)'!C235*1.3*($K$2/100+1)</f>
        <v>297.024585</v>
      </c>
      <c r="D235" s="737">
        <f>'Аксессуары (2)'!D235*1.3*($K$2/100+1)</f>
        <v>326.72704350000009</v>
      </c>
      <c r="E235" s="737">
        <f>'Аксессуары (2)'!E235*1.6*($K$2/100+1)</f>
        <v>438.68246400000004</v>
      </c>
      <c r="F235" s="737">
        <f>'Аксессуары (2)'!F235*1.6*($K$2/100+1)</f>
        <v>482.55071040000007</v>
      </c>
      <c r="G235" s="737">
        <f>'Аксессуары (2)'!G235*1.6*($K$2/100+1)</f>
        <v>526.41895680000005</v>
      </c>
      <c r="H235" s="738">
        <f>'Аксессуары (2)'!H235*1.8*($K$2/100+1)</f>
        <v>822.52962000000002</v>
      </c>
      <c r="I235" s="738">
        <f>'Аксессуары (2)'!J235*1.5*($K$2/100+1)</f>
        <v>1028.1620250000001</v>
      </c>
      <c r="J235" s="739">
        <f>'Аксессуары (2)'!J235*1.8*($K$2/100+1)</f>
        <v>1233.7944300000001</v>
      </c>
    </row>
    <row r="236" spans="1:10" ht="14.95" customHeight="1">
      <c r="A236" s="414" t="s">
        <v>3071</v>
      </c>
      <c r="B236" s="737">
        <f>'Аксессуары (2)'!B236*1.3*($K$2/100+1)</f>
        <v>282.0788685</v>
      </c>
      <c r="C236" s="737">
        <f>'Аксессуары (2)'!C236*1.3*($K$2/100+1)</f>
        <v>313.42096499999997</v>
      </c>
      <c r="D236" s="737">
        <f>'Аксессуары (2)'!D236*1.3*($K$2/100+1)</f>
        <v>344.76306149999999</v>
      </c>
      <c r="E236" s="737">
        <f>'Аксессуары (2)'!E236*1.6*($K$2/100+1)</f>
        <v>462.89865600000002</v>
      </c>
      <c r="F236" s="737">
        <f>'Аксессуары (2)'!F236*1.6*($K$2/100+1)</f>
        <v>509.1885216</v>
      </c>
      <c r="G236" s="737">
        <f>'Аксессуары (2)'!G236*1.6*($K$2/100+1)</f>
        <v>555.47838719999993</v>
      </c>
      <c r="H236" s="738">
        <f>'Аксессуары (2)'!H236*1.8*($K$2/100+1)</f>
        <v>867.93498</v>
      </c>
      <c r="I236" s="738">
        <f>'Аксессуары (2)'!J236*1.5*($K$2/100+1)</f>
        <v>1084.9187249999998</v>
      </c>
      <c r="J236" s="739">
        <f>'Аксессуары (2)'!J236*1.8*($K$2/100+1)</f>
        <v>1301.90247</v>
      </c>
    </row>
    <row r="237" spans="1:10" ht="14.95" customHeight="1">
      <c r="A237" s="414" t="s">
        <v>3072</v>
      </c>
      <c r="B237" s="737">
        <f>'Аксессуары (2)'!B237*1.3*($K$2/100+1)</f>
        <v>286.29508049999998</v>
      </c>
      <c r="C237" s="737">
        <f>'Аксессуары (2)'!C237*1.3*($K$2/100+1)</f>
        <v>318.10564499999992</v>
      </c>
      <c r="D237" s="737">
        <f>'Аксессуары (2)'!D237*1.3*($K$2/100+1)</f>
        <v>349.91620949999998</v>
      </c>
      <c r="E237" s="737">
        <f>'Аксессуары (2)'!E237*1.6*($K$2/100+1)</f>
        <v>469.81756799999994</v>
      </c>
      <c r="F237" s="737">
        <f>'Аксессуары (2)'!F237*1.6*($K$2/100+1)</f>
        <v>516.79932480000002</v>
      </c>
      <c r="G237" s="737">
        <f>'Аксессуары (2)'!G237*1.6*($K$2/100+1)</f>
        <v>563.78108159999999</v>
      </c>
      <c r="H237" s="738">
        <f>'Аксессуары (2)'!H237*1.8*($K$2/100+1)</f>
        <v>880.90793999999994</v>
      </c>
      <c r="I237" s="738">
        <f>'Аксессуары (2)'!J237*1.5*($K$2/100+1)</f>
        <v>1101.1349249999998</v>
      </c>
      <c r="J237" s="739">
        <f>'Аксессуары (2)'!J237*1.8*($K$2/100+1)</f>
        <v>1321.3619099999999</v>
      </c>
    </row>
    <row r="238" spans="1:10" ht="14.95" customHeight="1">
      <c r="A238" s="414" t="s">
        <v>3073</v>
      </c>
      <c r="B238" s="737">
        <f>'Аксессуары (2)'!B238*1.3*($K$2/100+1)</f>
        <v>288.4031865</v>
      </c>
      <c r="C238" s="737">
        <f>'Аксессуары (2)'!C238*1.3*($K$2/100+1)</f>
        <v>320.44798500000002</v>
      </c>
      <c r="D238" s="737">
        <f>'Аксессуары (2)'!D238*1.3*($K$2/100+1)</f>
        <v>352.49278349999997</v>
      </c>
      <c r="E238" s="737">
        <f>'Аксессуары (2)'!E238*1.6*($K$2/100+1)</f>
        <v>473.27702399999998</v>
      </c>
      <c r="F238" s="737">
        <f>'Аксессуары (2)'!F238*1.6*($K$2/100+1)</f>
        <v>520.6047264</v>
      </c>
      <c r="G238" s="737">
        <f>'Аксессуары (2)'!G238*1.6*($K$2/100+1)</f>
        <v>567.93242880000003</v>
      </c>
      <c r="H238" s="738">
        <f>'Аксессуары (2)'!H238*1.8*($K$2/100+1)</f>
        <v>887.39441999999997</v>
      </c>
      <c r="I238" s="738">
        <f>'Аксессуары (2)'!J238*1.5*($K$2/100+1)</f>
        <v>1109.2430249999998</v>
      </c>
      <c r="J238" s="739">
        <f>'Аксессуары (2)'!J238*1.8*($K$2/100+1)</f>
        <v>1331.0916299999999</v>
      </c>
    </row>
    <row r="239" spans="1:10" ht="14.95" customHeight="1">
      <c r="A239" s="414" t="s">
        <v>3074</v>
      </c>
      <c r="B239" s="737">
        <f>'Аксессуары (2)'!B239*1.3*($K$2/100+1)</f>
        <v>308.07884250000001</v>
      </c>
      <c r="C239" s="737">
        <f>'Аксессуары (2)'!C239*1.3*($K$2/100+1)</f>
        <v>342.30982499999993</v>
      </c>
      <c r="D239" s="737">
        <f>'Аксессуары (2)'!D239*1.3*($K$2/100+1)</f>
        <v>376.54080749999997</v>
      </c>
      <c r="E239" s="737">
        <f>'Аксессуары (2)'!E239*1.6*($K$2/100+1)</f>
        <v>505.56527999999992</v>
      </c>
      <c r="F239" s="737">
        <f>'Аксессуары (2)'!F239*1.6*($K$2/100+1)</f>
        <v>556.12180799999999</v>
      </c>
      <c r="G239" s="737">
        <f>'Аксессуары (2)'!G239*1.6*($K$2/100+1)</f>
        <v>606.67833599999994</v>
      </c>
      <c r="H239" s="738">
        <f>'Аксессуары (2)'!H239*1.8*($K$2/100+1)</f>
        <v>947.93489999999986</v>
      </c>
      <c r="I239" s="738">
        <f>'Аксессуары (2)'!J239*1.5*($K$2/100+1)</f>
        <v>1184.9186249999998</v>
      </c>
      <c r="J239" s="739">
        <f>'Аксессуары (2)'!J239*1.8*($K$2/100+1)</f>
        <v>1421.9023499999998</v>
      </c>
    </row>
    <row r="240" spans="1:10" ht="14.95" customHeight="1">
      <c r="A240" s="414" t="s">
        <v>3075</v>
      </c>
      <c r="B240" s="737">
        <f>'Аксессуары (2)'!B240*1.3*($K$2/100+1)</f>
        <v>328.45720050000006</v>
      </c>
      <c r="C240" s="737">
        <f>'Аксессуары (2)'!C240*1.3*($K$2/100+1)</f>
        <v>364.95244500000001</v>
      </c>
      <c r="D240" s="737">
        <f>'Аксессуары (2)'!D240*1.3*($K$2/100+1)</f>
        <v>401.44768950000008</v>
      </c>
      <c r="E240" s="737">
        <f>'Аксессуары (2)'!E240*1.6*($K$2/100+1)</f>
        <v>539.00668800000005</v>
      </c>
      <c r="F240" s="737">
        <f>'Аксессуары (2)'!F240*1.6*($K$2/100+1)</f>
        <v>592.9073568</v>
      </c>
      <c r="G240" s="737">
        <f>'Аксессуары (2)'!G240*1.6*($K$2/100+1)</f>
        <v>646.80802559999995</v>
      </c>
      <c r="H240" s="738">
        <f>'Аксессуары (2)'!H240*1.8*($K$2/100+1)</f>
        <v>1010.6375400000002</v>
      </c>
      <c r="I240" s="738">
        <f>'Аксессуары (2)'!J240*1.5*($K$2/100+1)</f>
        <v>1263.2969250000001</v>
      </c>
      <c r="J240" s="739">
        <f>'Аксессуары (2)'!J240*1.8*($K$2/100+1)</f>
        <v>1515.95631</v>
      </c>
    </row>
    <row r="241" spans="1:10" ht="14.95" customHeight="1">
      <c r="A241" s="414" t="s">
        <v>3076</v>
      </c>
      <c r="B241" s="737">
        <f>'Аксессуары (2)'!B241*1.3*($K$2/100+1)</f>
        <v>291.38967000000002</v>
      </c>
      <c r="C241" s="737">
        <f>'Аксессуары (2)'!C241*1.3*($K$2/100+1)</f>
        <v>323.7663</v>
      </c>
      <c r="D241" s="737">
        <f>'Аксессуары (2)'!D241*1.3*($K$2/100+1)</f>
        <v>356.14293000000004</v>
      </c>
      <c r="E241" s="737">
        <f>'Аксессуары (2)'!E241*1.6*($K$2/100+1)</f>
        <v>478.17791999999997</v>
      </c>
      <c r="F241" s="737">
        <f>'Аксессуары (2)'!F241*1.6*($K$2/100+1)</f>
        <v>525.99571200000003</v>
      </c>
      <c r="G241" s="737">
        <f>'Аксессуары (2)'!G241*1.6*($K$2/100+1)</f>
        <v>573.81350399999997</v>
      </c>
      <c r="H241" s="738">
        <f>'Аксессуары (2)'!H241*1.8*($K$2/100+1)</f>
        <v>896.58359999999993</v>
      </c>
      <c r="I241" s="738">
        <f>'Аксессуары (2)'!J241*1.5*($K$2/100+1)</f>
        <v>1120.7294999999999</v>
      </c>
      <c r="J241" s="739">
        <f>'Аксессуары (2)'!J241*1.8*($K$2/100+1)</f>
        <v>1344.8753999999999</v>
      </c>
    </row>
    <row r="242" spans="1:10" ht="14.95" customHeight="1">
      <c r="A242" s="414" t="s">
        <v>3077</v>
      </c>
      <c r="B242" s="737">
        <f>'Аксессуары (2)'!B242*1.3*($K$2/100+1)</f>
        <v>320.90315400000003</v>
      </c>
      <c r="C242" s="737">
        <f>'Аксессуары (2)'!C242*1.3*($K$2/100+1)</f>
        <v>356.55905999999999</v>
      </c>
      <c r="D242" s="737">
        <f>'Аксессуары (2)'!D242*1.3*($K$2/100+1)</f>
        <v>392.214966</v>
      </c>
      <c r="E242" s="737">
        <f>'Аксессуары (2)'!E242*1.6*($K$2/100+1)</f>
        <v>526.61030400000004</v>
      </c>
      <c r="F242" s="737">
        <f>'Аксессуары (2)'!F242*1.6*($K$2/100+1)</f>
        <v>579.2713344</v>
      </c>
      <c r="G242" s="737">
        <f>'Аксессуары (2)'!G242*1.6*($K$2/100+1)</f>
        <v>631.93236479999996</v>
      </c>
      <c r="H242" s="738">
        <f>'Аксессуары (2)'!H242*1.8*($K$2/100+1)</f>
        <v>987.39432000000011</v>
      </c>
      <c r="I242" s="738">
        <f>'Аксессуары (2)'!J242*1.5*($K$2/100+1)</f>
        <v>1234.2429</v>
      </c>
      <c r="J242" s="739">
        <f>'Аксессуары (2)'!J242*1.8*($K$2/100+1)</f>
        <v>1481.09148</v>
      </c>
    </row>
    <row r="243" spans="1:10" ht="14.95" customHeight="1">
      <c r="A243" s="414" t="s">
        <v>3078</v>
      </c>
      <c r="B243" s="737">
        <f>'Аксессуары (2)'!B243*1.3*($K$2/100+1)</f>
        <v>342.68691600000005</v>
      </c>
      <c r="C243" s="737">
        <f>'Аксессуары (2)'!C243*1.3*($K$2/100+1)</f>
        <v>380.76324</v>
      </c>
      <c r="D243" s="737">
        <f>'Аксессуары (2)'!D243*1.3*($K$2/100+1)</f>
        <v>418.83956400000005</v>
      </c>
      <c r="E243" s="737">
        <f>'Аксессуары (2)'!E243*1.6*($K$2/100+1)</f>
        <v>562.35801599999991</v>
      </c>
      <c r="F243" s="737">
        <f>'Аксессуары (2)'!F243*1.6*($K$2/100+1)</f>
        <v>618.59381759999997</v>
      </c>
      <c r="G243" s="737">
        <f>'Аксессуары (2)'!G243*1.6*($K$2/100+1)</f>
        <v>674.82961920000002</v>
      </c>
      <c r="H243" s="738">
        <f>'Аксессуары (2)'!H243*1.8*($K$2/100+1)</f>
        <v>1054.42128</v>
      </c>
      <c r="I243" s="738">
        <f>'Аксессуары (2)'!J243*1.5*($K$2/100+1)</f>
        <v>1318.0266000000001</v>
      </c>
      <c r="J243" s="739">
        <f>'Аксессуары (2)'!J243*1.8*($K$2/100+1)</f>
        <v>1581.63192</v>
      </c>
    </row>
    <row r="244" spans="1:10" ht="14.95" customHeight="1">
      <c r="A244" s="414" t="s">
        <v>3079</v>
      </c>
      <c r="B244" s="737">
        <f>'Аксессуары (2)'!B244*1.3*($K$2/100+1)</f>
        <v>407.51117550000004</v>
      </c>
      <c r="C244" s="737">
        <f>'Аксессуары (2)'!C244*1.3*($K$2/100+1)</f>
        <v>452.79019500000004</v>
      </c>
      <c r="D244" s="737">
        <f>'Аксессуары (2)'!D244*1.3*($K$2/100+1)</f>
        <v>498.06921450000004</v>
      </c>
      <c r="E244" s="737">
        <f>'Аксессуары (2)'!E244*1.6*($K$2/100+1)</f>
        <v>668.73628800000006</v>
      </c>
      <c r="F244" s="737">
        <f>'Аксессуары (2)'!F244*1.6*($K$2/100+1)</f>
        <v>735.60991680000006</v>
      </c>
      <c r="G244" s="737">
        <f>'Аксессуары (2)'!G244*1.6*($K$2/100+1)</f>
        <v>802.48354560000007</v>
      </c>
      <c r="H244" s="738">
        <f>'Аксессуары (2)'!H244*1.8*($K$2/100+1)</f>
        <v>1253.8805400000001</v>
      </c>
      <c r="I244" s="738">
        <f>'Аксессуары (2)'!J244*1.5*($K$2/100+1)</f>
        <v>1567.3506749999999</v>
      </c>
      <c r="J244" s="739">
        <f>'Аксессуары (2)'!J244*1.8*($K$2/100+1)</f>
        <v>1880.8208099999999</v>
      </c>
    </row>
    <row r="245" spans="1:10" ht="14.95" customHeight="1">
      <c r="A245" s="414" t="s">
        <v>3080</v>
      </c>
      <c r="B245" s="737">
        <f>'Аксессуары (2)'!B245*1.3*($K$2/100+1)</f>
        <v>303.15992849999998</v>
      </c>
      <c r="C245" s="737">
        <f>'Аксессуары (2)'!C245*1.3*($K$2/100+1)</f>
        <v>336.84436499999993</v>
      </c>
      <c r="D245" s="737">
        <f>'Аксессуары (2)'!D245*1.3*($K$2/100+1)</f>
        <v>370.52880149999999</v>
      </c>
      <c r="E245" s="737">
        <f>'Аксессуары (2)'!E245*1.6*($K$2/100+1)</f>
        <v>497.49321599999996</v>
      </c>
      <c r="F245" s="737">
        <f>'Аксессуары (2)'!F245*1.6*($K$2/100+1)</f>
        <v>547.24253759999988</v>
      </c>
      <c r="G245" s="737">
        <f>'Аксессуары (2)'!G245*1.6*($K$2/100+1)</f>
        <v>596.99185919999991</v>
      </c>
      <c r="H245" s="738">
        <f>'Аксессуары (2)'!H245*1.8*($K$2/100+1)</f>
        <v>932.79977999999983</v>
      </c>
      <c r="I245" s="738">
        <f>'Аксессуары (2)'!J245*1.5*($K$2/100+1)</f>
        <v>1165.9997249999999</v>
      </c>
      <c r="J245" s="739">
        <f>'Аксессуары (2)'!J245*1.8*($K$2/100+1)</f>
        <v>1399.1996699999997</v>
      </c>
    </row>
    <row r="246" spans="1:10" ht="14.95" customHeight="1">
      <c r="A246" s="414" t="s">
        <v>3081</v>
      </c>
      <c r="B246" s="737">
        <f>'Аксессуары (2)'!B246*1.3*($K$2/100+1)</f>
        <v>310.71397499999995</v>
      </c>
      <c r="C246" s="737">
        <f>'Аксессуары (2)'!C246*1.3*($K$2/100+1)</f>
        <v>345.23774999999995</v>
      </c>
      <c r="D246" s="737">
        <f>'Аксессуары (2)'!D246*1.3*($K$2/100+1)</f>
        <v>379.76152500000001</v>
      </c>
      <c r="E246" s="737">
        <f>'Аксессуары (2)'!E246*1.6*($K$2/100+1)</f>
        <v>509.88959999999997</v>
      </c>
      <c r="F246" s="737">
        <f>'Аксессуары (2)'!F246*1.6*($K$2/100+1)</f>
        <v>560.87856000000011</v>
      </c>
      <c r="G246" s="737">
        <f>'Аксессуары (2)'!G246*1.6*($K$2/100+1)</f>
        <v>611.86752000000001</v>
      </c>
      <c r="H246" s="738">
        <f>'Аксессуары (2)'!H246*1.8*($K$2/100+1)</f>
        <v>956.04299999999989</v>
      </c>
      <c r="I246" s="738">
        <f>'Аксессуары (2)'!J246*1.5*($K$2/100+1)</f>
        <v>1195.0537499999998</v>
      </c>
      <c r="J246" s="739">
        <f>'Аксессуары (2)'!J246*1.8*($K$2/100+1)</f>
        <v>1434.0645</v>
      </c>
    </row>
    <row r="247" spans="1:10" ht="14.95" customHeight="1">
      <c r="A247" s="414" t="s">
        <v>3082</v>
      </c>
      <c r="B247" s="737">
        <f>'Аксессуары (2)'!B247*1.3*($K$2/100+1)</f>
        <v>312.82208100000003</v>
      </c>
      <c r="C247" s="737">
        <f>'Аксессуары (2)'!C247*1.3*($K$2/100+1)</f>
        <v>347.58008999999998</v>
      </c>
      <c r="D247" s="737">
        <f>'Аксессуары (2)'!D247*1.3*($K$2/100+1)</f>
        <v>382.338099</v>
      </c>
      <c r="E247" s="737">
        <f>'Аксессуары (2)'!E247*1.6*($K$2/100+1)</f>
        <v>513.34905600000002</v>
      </c>
      <c r="F247" s="737">
        <f>'Аксессуары (2)'!F247*1.6*($K$2/100+1)</f>
        <v>564.68396159999998</v>
      </c>
      <c r="G247" s="737">
        <f>'Аксессуары (2)'!G247*1.6*($K$2/100+1)</f>
        <v>616.01886719999993</v>
      </c>
      <c r="H247" s="738">
        <f>'Аксессуары (2)'!H247*1.8*($K$2/100+1)</f>
        <v>962.52948000000004</v>
      </c>
      <c r="I247" s="738">
        <f>'Аксессуары (2)'!J247*1.5*($K$2/100+1)</f>
        <v>1203.16185</v>
      </c>
      <c r="J247" s="739">
        <f>'Аксессуары (2)'!J247*1.8*($K$2/100+1)</f>
        <v>1443.79422</v>
      </c>
    </row>
    <row r="248" spans="1:10" ht="14.95" customHeight="1">
      <c r="A248" s="414" t="s">
        <v>3083</v>
      </c>
      <c r="B248" s="737">
        <f>'Аксессуары (2)'!B248*1.3*($K$2/100+1)</f>
        <v>332.14638600000001</v>
      </c>
      <c r="C248" s="737">
        <f>'Аксессуары (2)'!C248*1.3*($K$2/100+1)</f>
        <v>369.05153999999999</v>
      </c>
      <c r="D248" s="737">
        <f>'Аксессуары (2)'!D248*1.3*($K$2/100+1)</f>
        <v>405.95669400000003</v>
      </c>
      <c r="E248" s="737">
        <f>'Аксессуары (2)'!E248*1.6*($K$2/100+1)</f>
        <v>545.06073599999991</v>
      </c>
      <c r="F248" s="737">
        <f>'Аксессуары (2)'!F248*1.6*($K$2/100+1)</f>
        <v>599.56680959999994</v>
      </c>
      <c r="G248" s="737">
        <f>'Аксессуары (2)'!G248*1.6*($K$2/100+1)</f>
        <v>654.07288319999986</v>
      </c>
      <c r="H248" s="738">
        <f>'Аксессуары (2)'!H248*1.8*($K$2/100+1)</f>
        <v>1021.98888</v>
      </c>
      <c r="I248" s="738">
        <f>'Аксессуары (2)'!J248*1.5*($K$2/100+1)</f>
        <v>1277.4860999999999</v>
      </c>
      <c r="J248" s="739">
        <f>'Аксессуары (2)'!J248*1.8*($K$2/100+1)</f>
        <v>1532.9833199999998</v>
      </c>
    </row>
    <row r="249" spans="1:10" ht="14.95" customHeight="1">
      <c r="A249" s="414" t="s">
        <v>3084</v>
      </c>
      <c r="B249" s="737">
        <f>'Аксессуары (2)'!B249*1.3*($K$2/100+1)</f>
        <v>356.91663149999999</v>
      </c>
      <c r="C249" s="737">
        <f>'Аксессуары (2)'!C249*1.3*($K$2/100+1)</f>
        <v>396.57403499999992</v>
      </c>
      <c r="D249" s="737">
        <f>'Аксессуары (2)'!D249*1.3*($K$2/100+1)</f>
        <v>436.23143850000002</v>
      </c>
      <c r="E249" s="737">
        <f>'Аксессуары (2)'!E249*1.6*($K$2/100+1)</f>
        <v>585.70934399999987</v>
      </c>
      <c r="F249" s="737">
        <f>'Аксессуары (2)'!F249*1.6*($K$2/100+1)</f>
        <v>644.28027839999993</v>
      </c>
      <c r="G249" s="737">
        <f>'Аксессуары (2)'!G249*1.6*($K$2/100+1)</f>
        <v>702.85121279999976</v>
      </c>
      <c r="H249" s="738">
        <f>'Аксессуары (2)'!H249*1.8*($K$2/100+1)</f>
        <v>1098.2050199999999</v>
      </c>
      <c r="I249" s="738">
        <f>'Аксессуары (2)'!J249*1.5*($K$2/100+1)</f>
        <v>1372.7562749999997</v>
      </c>
      <c r="J249" s="739">
        <f>'Аксессуары (2)'!J249*1.8*($K$2/100+1)</f>
        <v>1647.3075299999996</v>
      </c>
    </row>
    <row r="250" spans="1:10" ht="14.95" customHeight="1">
      <c r="A250" s="414" t="s">
        <v>3085</v>
      </c>
      <c r="B250" s="737">
        <f>'Аксессуары (2)'!B250*1.3*($K$2/100+1)</f>
        <v>425.43007649999998</v>
      </c>
      <c r="C250" s="737">
        <f>'Аксессуары (2)'!C250*1.3*($K$2/100+1)</f>
        <v>472.70008499999994</v>
      </c>
      <c r="D250" s="737">
        <f>'Аксессуары (2)'!D250*1.3*($K$2/100+1)</f>
        <v>519.97009349999996</v>
      </c>
      <c r="E250" s="737">
        <f>'Аксессуары (2)'!E250*1.6*($K$2/100+1)</f>
        <v>698.14166399999988</v>
      </c>
      <c r="F250" s="737">
        <f>'Аксессуары (2)'!F250*1.6*($K$2/100+1)</f>
        <v>767.95583039999997</v>
      </c>
      <c r="G250" s="737">
        <f>'Аксессуары (2)'!G250*1.6*($K$2/100+1)</f>
        <v>837.76999679999983</v>
      </c>
      <c r="H250" s="738">
        <f>'Аксессуары (2)'!H250*1.8*($K$2/100+1)</f>
        <v>1309.0156199999999</v>
      </c>
      <c r="I250" s="738">
        <f>'Аксессуары (2)'!J250*1.5*($K$2/100+1)</f>
        <v>1636.2695249999997</v>
      </c>
      <c r="J250" s="739">
        <f>'Аксессуары (2)'!J250*1.8*($K$2/100+1)</f>
        <v>1963.5234299999997</v>
      </c>
    </row>
    <row r="251" spans="1:10" ht="14.95" customHeight="1">
      <c r="A251" s="414" t="s">
        <v>3086</v>
      </c>
      <c r="B251" s="737">
        <f>'Аксессуары (2)'!B251*1.3*($K$2/100+1)</f>
        <v>508.87593900000002</v>
      </c>
      <c r="C251" s="737">
        <f>'Аксессуары (2)'!C251*1.3*($K$2/100+1)</f>
        <v>565.41771000000006</v>
      </c>
      <c r="D251" s="737">
        <f>'Аксессуары (2)'!D251*1.3*($K$2/100+1)</f>
        <v>621.95948099999998</v>
      </c>
      <c r="E251" s="737">
        <f>'Аксессуары (2)'!E251*1.6*($K$2/100+1)</f>
        <v>835.07846400000005</v>
      </c>
      <c r="F251" s="737">
        <f>'Аксессуары (2)'!F251*1.6*($K$2/100+1)</f>
        <v>918.5863104</v>
      </c>
      <c r="G251" s="737">
        <f>'Аксессуары (2)'!G251*1.6*($K$2/100+1)</f>
        <v>1002.0941568</v>
      </c>
      <c r="H251" s="738">
        <f>'Аксессуары (2)'!H251*1.8*($K$2/100+1)</f>
        <v>1565.7721199999999</v>
      </c>
      <c r="I251" s="738">
        <f>'Аксессуары (2)'!J251*1.5*($K$2/100+1)</f>
        <v>1957.2151500000002</v>
      </c>
      <c r="J251" s="739">
        <f>'Аксессуары (2)'!J251*1.8*($K$2/100+1)</f>
        <v>2348.6581800000004</v>
      </c>
    </row>
    <row r="252" spans="1:10" ht="14.95" customHeight="1">
      <c r="A252" s="414" t="s">
        <v>3087</v>
      </c>
      <c r="B252" s="737">
        <f>'Аксессуары (2)'!B252*1.3*($K$2/100+1)</f>
        <v>313.52478300000001</v>
      </c>
      <c r="C252" s="737">
        <f>'Аксессуары (2)'!C252*1.3*($K$2/100+1)</f>
        <v>348.36086999999998</v>
      </c>
      <c r="D252" s="737">
        <f>'Аксессуары (2)'!D252*1.3*($K$2/100+1)</f>
        <v>383.19695700000005</v>
      </c>
      <c r="E252" s="737">
        <f>'Аксессуары (2)'!E252*1.6*($K$2/100+1)</f>
        <v>514.502208</v>
      </c>
      <c r="F252" s="737">
        <f>'Аксессуары (2)'!F252*1.6*($K$2/100+1)</f>
        <v>565.95242880000012</v>
      </c>
      <c r="G252" s="737">
        <f>'Аксессуары (2)'!G252*1.6*($K$2/100+1)</f>
        <v>617.40264960000002</v>
      </c>
      <c r="H252" s="738">
        <f>'Аксессуары (2)'!H252*1.8*($K$2/100+1)</f>
        <v>964.69164000000001</v>
      </c>
      <c r="I252" s="738">
        <f>'Аксессуары (2)'!J252*1.5*($K$2/100+1)</f>
        <v>1205.86455</v>
      </c>
      <c r="J252" s="739">
        <f>'Аксессуары (2)'!J252*1.8*($K$2/100+1)</f>
        <v>1447.03746</v>
      </c>
    </row>
    <row r="253" spans="1:10" ht="14.95" customHeight="1">
      <c r="A253" s="414" t="s">
        <v>3088</v>
      </c>
      <c r="B253" s="737">
        <f>'Аксессуары (2)'!B253*1.3*($K$2/100+1)</f>
        <v>347.60583000000003</v>
      </c>
      <c r="C253" s="737">
        <f>'Аксессуары (2)'!C253*1.3*($K$2/100+1)</f>
        <v>386.2287</v>
      </c>
      <c r="D253" s="737">
        <f>'Аксессуары (2)'!D253*1.3*($K$2/100+1)</f>
        <v>424.85157000000004</v>
      </c>
      <c r="E253" s="737">
        <f>'Аксессуары (2)'!E253*1.6*($K$2/100+1)</f>
        <v>570.43008000000009</v>
      </c>
      <c r="F253" s="737">
        <f>'Аксессуары (2)'!F253*1.6*($K$2/100+1)</f>
        <v>627.47308800000008</v>
      </c>
      <c r="G253" s="737">
        <f>'Аксессуары (2)'!G253*1.6*($K$2/100+1)</f>
        <v>684.51609599999995</v>
      </c>
      <c r="H253" s="738">
        <f>'Аксессуары (2)'!H253*1.8*($K$2/100+1)</f>
        <v>1069.5563999999999</v>
      </c>
      <c r="I253" s="738">
        <f>'Аксессуары (2)'!J253*1.5*($K$2/100+1)</f>
        <v>1336.9455</v>
      </c>
      <c r="J253" s="739">
        <f>'Аксессуары (2)'!J253*1.8*($K$2/100+1)</f>
        <v>1604.3346000000001</v>
      </c>
    </row>
    <row r="254" spans="1:10" ht="14.95" customHeight="1">
      <c r="A254" s="414" t="s">
        <v>3089</v>
      </c>
      <c r="B254" s="737">
        <f>'Аксессуары (2)'!B254*1.3*($K$2/100+1)</f>
        <v>370.97067150000004</v>
      </c>
      <c r="C254" s="737">
        <f>'Аксессуары (2)'!C254*1.3*($K$2/100+1)</f>
        <v>412.18963500000007</v>
      </c>
      <c r="D254" s="737">
        <f>'Аксессуары (2)'!D254*1.3*($K$2/100+1)</f>
        <v>453.4085985000001</v>
      </c>
      <c r="E254" s="737">
        <f>'Аксессуары (2)'!E254*1.6*($K$2/100+1)</f>
        <v>608.77238399999999</v>
      </c>
      <c r="F254" s="737">
        <f>'Аксессуары (2)'!F254*1.6*($K$2/100+1)</f>
        <v>669.6496224</v>
      </c>
      <c r="G254" s="737">
        <f>'Аксессуары (2)'!G254*1.6*($K$2/100+1)</f>
        <v>730.52686080000001</v>
      </c>
      <c r="H254" s="738">
        <f>'Аксессуары (2)'!H254*1.8*($K$2/100+1)</f>
        <v>1141.44822</v>
      </c>
      <c r="I254" s="738">
        <f>'Аксессуары (2)'!J254*1.5*($K$2/100+1)</f>
        <v>1426.810275</v>
      </c>
      <c r="J254" s="739">
        <f>'Аксессуары (2)'!J254*1.8*($K$2/100+1)</f>
        <v>1712.1723299999999</v>
      </c>
    </row>
    <row r="255" spans="1:10" ht="14.95" customHeight="1">
      <c r="A255" s="414" t="s">
        <v>3090</v>
      </c>
      <c r="B255" s="737">
        <f>'Аксессуары (2)'!B255*1.3*($K$2/100+1)</f>
        <v>406.1057715</v>
      </c>
      <c r="C255" s="737">
        <f>'Аксессуары (2)'!C255*1.3*($K$2/100+1)</f>
        <v>451.228635</v>
      </c>
      <c r="D255" s="737">
        <f>'Аксессуары (2)'!D255*1.3*($K$2/100+1)</f>
        <v>496.35149849999999</v>
      </c>
      <c r="E255" s="737">
        <f>'Аксессуары (2)'!E255*1.6*($K$2/100+1)</f>
        <v>666.42998399999999</v>
      </c>
      <c r="F255" s="737">
        <f>'Аксессуары (2)'!F255*1.6*($K$2/100+1)</f>
        <v>733.0729824</v>
      </c>
      <c r="G255" s="737">
        <f>'Аксессуары (2)'!G255*1.6*($K$2/100+1)</f>
        <v>799.7159807999999</v>
      </c>
      <c r="H255" s="738">
        <f>'Аксессуары (2)'!H255*1.8*($K$2/100+1)</f>
        <v>1249.5562199999999</v>
      </c>
      <c r="I255" s="738">
        <f>'Аксессуары (2)'!J255*1.5*($K$2/100+1)</f>
        <v>1561.9452749999998</v>
      </c>
      <c r="J255" s="739">
        <f>'Аксессуары (2)'!J255*1.8*($K$2/100+1)</f>
        <v>1874.3343299999999</v>
      </c>
    </row>
    <row r="256" spans="1:10" ht="14.95" customHeight="1">
      <c r="A256" s="414" t="s">
        <v>3091</v>
      </c>
      <c r="B256" s="737">
        <f>'Аксессуары (2)'!B256*1.3*($K$2/100+1)</f>
        <v>442.29492449999998</v>
      </c>
      <c r="C256" s="737">
        <f>'Аксессуары (2)'!C256*1.3*($K$2/100+1)</f>
        <v>491.438805</v>
      </c>
      <c r="D256" s="737">
        <f>'Аксессуары (2)'!D256*1.3*($K$2/100+1)</f>
        <v>540.58268550000003</v>
      </c>
      <c r="E256" s="737">
        <f>'Аксессуары (2)'!E256*1.6*($K$2/100+1)</f>
        <v>725.8173119999999</v>
      </c>
      <c r="F256" s="737">
        <f>'Аксессуары (2)'!F256*1.6*($K$2/100+1)</f>
        <v>798.39904320000005</v>
      </c>
      <c r="G256" s="737">
        <f>'Аксессуары (2)'!G256*1.6*($K$2/100+1)</f>
        <v>870.98077439999986</v>
      </c>
      <c r="H256" s="738">
        <f>'Аксессуары (2)'!H256*1.8*($K$2/100+1)</f>
        <v>1360.9074599999999</v>
      </c>
      <c r="I256" s="738">
        <f>'Аксессуары (2)'!J256*1.5*($K$2/100+1)</f>
        <v>1701.1343249999998</v>
      </c>
      <c r="J256" s="739">
        <f>'Аксессуары (2)'!J256*1.8*($K$2/100+1)</f>
        <v>2041.3611899999999</v>
      </c>
    </row>
    <row r="257" spans="1:10" ht="14.95" customHeight="1">
      <c r="A257" s="414" t="s">
        <v>3092</v>
      </c>
      <c r="B257" s="737">
        <f>'Аксессуары (2)'!B257*1.3*($K$2/100+1)</f>
        <v>324.06531300000006</v>
      </c>
      <c r="C257" s="737">
        <f>'Аксессуары (2)'!C257*1.3*($K$2/100+1)</f>
        <v>360.07257000000004</v>
      </c>
      <c r="D257" s="737">
        <f>'Аксессуары (2)'!D257*1.3*($K$2/100+1)</f>
        <v>396.07982700000008</v>
      </c>
      <c r="E257" s="737">
        <f>'Аксессуары (2)'!E257*1.6*($K$2/100+1)</f>
        <v>531.799488</v>
      </c>
      <c r="F257" s="737">
        <f>'Аксессуары (2)'!F257*1.6*($K$2/100+1)</f>
        <v>584.97943680000014</v>
      </c>
      <c r="G257" s="737">
        <f>'Аксессуары (2)'!G257*1.6*($K$2/100+1)</f>
        <v>638.15938559999995</v>
      </c>
      <c r="H257" s="738">
        <f>'Аксессуары (2)'!H257*1.8*($K$2/100+1)</f>
        <v>997.12404000000004</v>
      </c>
      <c r="I257" s="738">
        <f>'Аксессуары (2)'!J257*1.5*($K$2/100+1)</f>
        <v>1246.4050500000003</v>
      </c>
      <c r="J257" s="739">
        <f>'Аксессуары (2)'!J257*1.8*($K$2/100+1)</f>
        <v>1495.6860600000002</v>
      </c>
    </row>
    <row r="258" spans="1:10" ht="14.95" customHeight="1">
      <c r="A258" s="414" t="s">
        <v>3093</v>
      </c>
      <c r="B258" s="737">
        <f>'Аксессуары (2)'!B258*1.3*($K$2/100+1)</f>
        <v>327.578823</v>
      </c>
      <c r="C258" s="737">
        <f>'Аксессуары (2)'!C258*1.3*($K$2/100+1)</f>
        <v>363.97647000000001</v>
      </c>
      <c r="D258" s="737">
        <f>'Аксессуары (2)'!D258*1.3*($K$2/100+1)</f>
        <v>400.37411700000001</v>
      </c>
      <c r="E258" s="737">
        <f>'Аксессуары (2)'!E258*1.6*($K$2/100+1)</f>
        <v>537.565248</v>
      </c>
      <c r="F258" s="737">
        <f>'Аксессуары (2)'!F258*1.6*($K$2/100+1)</f>
        <v>591.32177280000008</v>
      </c>
      <c r="G258" s="737">
        <f>'Аксессуары (2)'!G258*1.6*($K$2/100+1)</f>
        <v>645.07829759999993</v>
      </c>
      <c r="H258" s="738">
        <f>'Аксессуары (2)'!H258*1.8*($K$2/100+1)</f>
        <v>1007.9348399999999</v>
      </c>
      <c r="I258" s="738">
        <f>'Аксессуары (2)'!J258*1.5*($K$2/100+1)</f>
        <v>1259.9185499999999</v>
      </c>
      <c r="J258" s="739">
        <f>'Аксессуары (2)'!J258*1.8*($K$2/100+1)</f>
        <v>1511.9022599999998</v>
      </c>
    </row>
    <row r="259" spans="1:10" ht="14.95" customHeight="1">
      <c r="A259" s="414" t="s">
        <v>3094</v>
      </c>
      <c r="B259" s="737">
        <f>'Аксессуары (2)'!B259*1.3*($K$2/100+1)</f>
        <v>330.38963100000007</v>
      </c>
      <c r="C259" s="737">
        <f>'Аксессуары (2)'!C259*1.3*($K$2/100+1)</f>
        <v>367.09958999999998</v>
      </c>
      <c r="D259" s="737">
        <f>'Аксессуары (2)'!D259*1.3*($K$2/100+1)</f>
        <v>403.809549</v>
      </c>
      <c r="E259" s="737">
        <f>'Аксессуары (2)'!E259*1.6*($K$2/100+1)</f>
        <v>542.17785600000002</v>
      </c>
      <c r="F259" s="737">
        <f>'Аксессуары (2)'!F259*1.6*($K$2/100+1)</f>
        <v>596.39564159999998</v>
      </c>
      <c r="G259" s="737">
        <f>'Аксессуары (2)'!G259*1.6*($K$2/100+1)</f>
        <v>650.61342719999993</v>
      </c>
      <c r="H259" s="738">
        <f>'Аксессуары (2)'!H259*1.8*($K$2/100+1)</f>
        <v>1016.58348</v>
      </c>
      <c r="I259" s="738">
        <f>'Аксессуары (2)'!J259*1.5*($K$2/100+1)</f>
        <v>1270.7293499999998</v>
      </c>
      <c r="J259" s="739">
        <f>'Аксессуары (2)'!J259*1.8*($K$2/100+1)</f>
        <v>1524.8752199999997</v>
      </c>
    </row>
    <row r="260" spans="1:10" ht="14.95" customHeight="1">
      <c r="A260" s="414" t="s">
        <v>3095</v>
      </c>
      <c r="B260" s="737">
        <f>'Аксессуары (2)'!B260*1.3*($K$2/100+1)</f>
        <v>359.02473750000001</v>
      </c>
      <c r="C260" s="737">
        <f>'Аксессуары (2)'!C260*1.3*($K$2/100+1)</f>
        <v>398.91637500000002</v>
      </c>
      <c r="D260" s="737">
        <f>'Аксессуары (2)'!D260*1.3*($K$2/100+1)</f>
        <v>438.80801250000002</v>
      </c>
      <c r="E260" s="737">
        <f>'Аксессуары (2)'!E260*1.6*($K$2/100+1)</f>
        <v>589.16879999999992</v>
      </c>
      <c r="F260" s="737">
        <f>'Аксессуары (2)'!F260*1.6*($K$2/100+1)</f>
        <v>648.08568000000002</v>
      </c>
      <c r="G260" s="737">
        <f>'Аксессуары (2)'!G260*1.6*($K$2/100+1)</f>
        <v>707.00256000000002</v>
      </c>
      <c r="H260" s="738">
        <f>'Аксессуары (2)'!H260*1.8*($K$2/100+1)</f>
        <v>1104.6914999999999</v>
      </c>
      <c r="I260" s="738">
        <f>'Аксессуары (2)'!J260*1.5*($K$2/100+1)</f>
        <v>1380.8643749999999</v>
      </c>
      <c r="J260" s="739">
        <f>'Аксессуары (2)'!J260*1.8*($K$2/100+1)</f>
        <v>1657.0372499999999</v>
      </c>
    </row>
    <row r="261" spans="1:10" ht="14.95" customHeight="1">
      <c r="A261" s="414" t="s">
        <v>3096</v>
      </c>
      <c r="B261" s="737">
        <f>'Аксессуары (2)'!B261*1.3*($K$2/100+1)</f>
        <v>385.20038699999998</v>
      </c>
      <c r="C261" s="737">
        <f>'Аксессуары (2)'!C261*1.3*($K$2/100+1)</f>
        <v>428.00042999999999</v>
      </c>
      <c r="D261" s="737">
        <f>'Аксессуары (2)'!D261*1.3*($K$2/100+1)</f>
        <v>470.80047299999995</v>
      </c>
      <c r="E261" s="737">
        <f>'Аксессуары (2)'!E261*1.6*($K$2/100+1)</f>
        <v>632.12371199999995</v>
      </c>
      <c r="F261" s="737">
        <f>'Аксессуары (2)'!F261*1.6*($K$2/100+1)</f>
        <v>695.33608319999996</v>
      </c>
      <c r="G261" s="737">
        <f>'Аксессуары (2)'!G261*1.6*($K$2/100+1)</f>
        <v>758.54845439999986</v>
      </c>
      <c r="H261" s="738">
        <f>'Аксессуары (2)'!H261*1.8*($K$2/100+1)</f>
        <v>1185.2319600000001</v>
      </c>
      <c r="I261" s="738">
        <f>'Аксессуары (2)'!J261*1.5*($K$2/100+1)</f>
        <v>1481.5399499999999</v>
      </c>
      <c r="J261" s="739">
        <f>'Аксессуары (2)'!J261*1.8*($K$2/100+1)</f>
        <v>1777.8479399999999</v>
      </c>
    </row>
    <row r="262" spans="1:10" ht="14.95" customHeight="1">
      <c r="A262" s="414" t="s">
        <v>3097</v>
      </c>
      <c r="B262" s="737">
        <f>'Аксессуары (2)'!B262*1.3*($K$2/100+1)</f>
        <v>461.79490499999997</v>
      </c>
      <c r="C262" s="737">
        <f>'Аксессуары (2)'!C262*1.3*($K$2/100+1)</f>
        <v>513.10544999999991</v>
      </c>
      <c r="D262" s="737">
        <f>'Аксессуары (2)'!D262*1.3*($K$2/100+1)</f>
        <v>564.41599499999995</v>
      </c>
      <c r="E262" s="737">
        <f>'Аксессуары (2)'!E262*1.6*($K$2/100+1)</f>
        <v>757.81727999999987</v>
      </c>
      <c r="F262" s="737">
        <f>'Аксессуары (2)'!F262*1.6*($K$2/100+1)</f>
        <v>833.59900799999991</v>
      </c>
      <c r="G262" s="737">
        <f>'Аксессуары (2)'!G262*1.6*($K$2/100+1)</f>
        <v>909.38073599999984</v>
      </c>
      <c r="H262" s="738">
        <f>'Аксессуары (2)'!H262*1.8*($K$2/100+1)</f>
        <v>1420.9073999999998</v>
      </c>
      <c r="I262" s="738">
        <f>'Аксессуары (2)'!J262*1.5*($K$2/100+1)</f>
        <v>1776.1342499999994</v>
      </c>
      <c r="J262" s="739">
        <f>'Аксессуары (2)'!J262*1.8*($K$2/100+1)</f>
        <v>2131.3610999999996</v>
      </c>
    </row>
    <row r="263" spans="1:10" ht="14.95" customHeight="1">
      <c r="A263" s="414" t="s">
        <v>3098</v>
      </c>
      <c r="B263" s="737">
        <f>'Аксессуары (2)'!B263*1.3*($K$2/100+1)</f>
        <v>496.93000499999994</v>
      </c>
      <c r="C263" s="737">
        <f>'Аксессуары (2)'!C263*1.3*($K$2/100+1)</f>
        <v>552.14444999999989</v>
      </c>
      <c r="D263" s="737">
        <f>'Аксессуары (2)'!D263*1.3*($K$2/100+1)</f>
        <v>607.35889500000008</v>
      </c>
      <c r="E263" s="737">
        <f>'Аксессуары (2)'!E263*1.6*($K$2/100+1)</f>
        <v>815.47487999999987</v>
      </c>
      <c r="F263" s="737">
        <f>'Аксессуары (2)'!F263*1.6*($K$2/100+1)</f>
        <v>897.02236800000003</v>
      </c>
      <c r="G263" s="737">
        <f>'Аксессуары (2)'!G263*1.6*($K$2/100+1)</f>
        <v>978.56985599999973</v>
      </c>
      <c r="H263" s="738">
        <f>'Аксессуары (2)'!H263*1.8*($K$2/100+1)</f>
        <v>1529.0153999999998</v>
      </c>
      <c r="I263" s="738">
        <f>'Аксессуары (2)'!J263*1.5*($K$2/100+1)</f>
        <v>1911.2692499999996</v>
      </c>
      <c r="J263" s="739">
        <f>'Аксессуары (2)'!J263*1.8*($K$2/100+1)</f>
        <v>2293.5230999999999</v>
      </c>
    </row>
    <row r="264" spans="1:10" ht="14.95" customHeight="1">
      <c r="A264" s="414" t="s">
        <v>3099</v>
      </c>
      <c r="B264" s="737">
        <f>'Аксессуары (2)'!B264*1.3*($K$2/100+1)</f>
        <v>324.06531300000006</v>
      </c>
      <c r="C264" s="737">
        <f>'Аксессуары (2)'!C264*1.3*($K$2/100+1)</f>
        <v>360.07257000000004</v>
      </c>
      <c r="D264" s="737">
        <f>'Аксессуары (2)'!D264*1.3*($K$2/100+1)</f>
        <v>396.07982700000008</v>
      </c>
      <c r="E264" s="737">
        <f>'Аксессуары (2)'!E264*1.6*($K$2/100+1)</f>
        <v>531.799488</v>
      </c>
      <c r="F264" s="737">
        <f>'Аксессуары (2)'!F264*1.6*($K$2/100+1)</f>
        <v>584.97943680000014</v>
      </c>
      <c r="G264" s="737">
        <f>'Аксессуары (2)'!G264*1.6*($K$2/100+1)</f>
        <v>638.15938559999995</v>
      </c>
      <c r="H264" s="738">
        <f>'Аксессуары (2)'!H264*1.8*($K$2/100+1)</f>
        <v>997.12404000000004</v>
      </c>
      <c r="I264" s="738">
        <f>'Аксессуары (2)'!J264*1.5*($K$2/100+1)</f>
        <v>1246.4050500000003</v>
      </c>
      <c r="J264" s="739">
        <f>'Аксессуары (2)'!J264*1.8*($K$2/100+1)</f>
        <v>1495.6860600000002</v>
      </c>
    </row>
    <row r="265" spans="1:10" ht="14.95" customHeight="1">
      <c r="A265" s="414" t="s">
        <v>3100</v>
      </c>
      <c r="B265" s="737">
        <f>'Аксессуары (2)'!B265*1.3*($K$2/100+1)</f>
        <v>354.45717450000001</v>
      </c>
      <c r="C265" s="737">
        <f>'Аксессуары (2)'!C265*1.3*($K$2/100+1)</f>
        <v>393.84130499999992</v>
      </c>
      <c r="D265" s="737">
        <f>'Аксессуары (2)'!D265*1.3*($K$2/100+1)</f>
        <v>433.2254355</v>
      </c>
      <c r="E265" s="737">
        <f>'Аксессуары (2)'!E265*1.6*($K$2/100+1)</f>
        <v>581.6733119999999</v>
      </c>
      <c r="F265" s="737">
        <f>'Аксессуары (2)'!F265*1.6*($K$2/100+1)</f>
        <v>639.84064320000004</v>
      </c>
      <c r="G265" s="737">
        <f>'Аксессуары (2)'!G265*1.6*($K$2/100+1)</f>
        <v>698.00797439999985</v>
      </c>
      <c r="H265" s="738">
        <f>'Аксессуары (2)'!H265*1.8*($K$2/100+1)</f>
        <v>1090.6374599999999</v>
      </c>
      <c r="I265" s="738">
        <f>'Аксессуары (2)'!J265*1.5*($K$2/100+1)</f>
        <v>1363.2968249999999</v>
      </c>
      <c r="J265" s="739">
        <f>'Аксессуары (2)'!J265*1.8*($K$2/100+1)</f>
        <v>1635.9561899999999</v>
      </c>
    </row>
    <row r="266" spans="1:10" ht="14.95" customHeight="1">
      <c r="A266" s="414" t="s">
        <v>3101</v>
      </c>
      <c r="B266" s="737">
        <f>'Аксессуары (2)'!B266*1.3*($K$2/100+1)</f>
        <v>350.767989</v>
      </c>
      <c r="C266" s="737">
        <f>'Аксессуары (2)'!C266*1.3*($K$2/100+1)</f>
        <v>389.74220999999994</v>
      </c>
      <c r="D266" s="737">
        <f>'Аксессуары (2)'!D266*1.3*($K$2/100+1)</f>
        <v>428.716431</v>
      </c>
      <c r="E266" s="737">
        <f>'Аксессуары (2)'!E266*1.6*($K$2/100+1)</f>
        <v>575.61926399999993</v>
      </c>
      <c r="F266" s="737">
        <f>'Аксессуары (2)'!F266*1.6*($K$2/100+1)</f>
        <v>633.18119039999999</v>
      </c>
      <c r="G266" s="737">
        <f>'Аксессуары (2)'!G266*1.6*($K$2/100+1)</f>
        <v>690.74311679999994</v>
      </c>
      <c r="H266" s="738">
        <f>'Аксессуары (2)'!H266*1.8*($K$2/100+1)</f>
        <v>1079.28612</v>
      </c>
      <c r="I266" s="738">
        <f>'Аксессуары (2)'!J266*1.5*($K$2/100+1)</f>
        <v>1349.1076499999997</v>
      </c>
      <c r="J266" s="739">
        <f>'Аксессуары (2)'!J266*1.8*($K$2/100+1)</f>
        <v>1618.9291799999999</v>
      </c>
    </row>
    <row r="267" spans="1:10" ht="14.95" customHeight="1">
      <c r="A267" s="414" t="s">
        <v>3102</v>
      </c>
      <c r="B267" s="737">
        <f>'Аксессуары (2)'!B267*1.3*($K$2/100+1)</f>
        <v>384.49768499999999</v>
      </c>
      <c r="C267" s="737">
        <f>'Аксессуары (2)'!C267*1.3*($K$2/100+1)</f>
        <v>427.21964999999994</v>
      </c>
      <c r="D267" s="737">
        <f>'Аксессуары (2)'!D267*1.3*($K$2/100+1)</f>
        <v>469.94161500000001</v>
      </c>
      <c r="E267" s="737">
        <f>'Аксессуары (2)'!E267*1.6*($K$2/100+1)</f>
        <v>630.97055999999986</v>
      </c>
      <c r="F267" s="737">
        <f>'Аксессуары (2)'!F267*1.6*($K$2/100+1)</f>
        <v>694.06761600000004</v>
      </c>
      <c r="G267" s="737">
        <f>'Аксессуары (2)'!G267*1.6*($K$2/100+1)</f>
        <v>757.16467199999988</v>
      </c>
      <c r="H267" s="738">
        <f>'Аксессуары (2)'!H267*1.8*($K$2/100+1)</f>
        <v>1183.0697999999998</v>
      </c>
      <c r="I267" s="738">
        <f>'Аксессуары (2)'!J267*1.5*($K$2/100+1)</f>
        <v>1478.8372499999998</v>
      </c>
      <c r="J267" s="739">
        <f>'Аксессуары (2)'!J267*1.8*($K$2/100+1)</f>
        <v>1774.6046999999999</v>
      </c>
    </row>
    <row r="268" spans="1:10" ht="14.95" customHeight="1">
      <c r="A268" s="414" t="s">
        <v>3103</v>
      </c>
      <c r="B268" s="737">
        <f>'Аксессуары (2)'!B268*1.3*($K$2/100+1)</f>
        <v>413.65981800000003</v>
      </c>
      <c r="C268" s="737">
        <f>'Аксессуары (2)'!C268*1.3*($K$2/100+1)</f>
        <v>459.62202000000002</v>
      </c>
      <c r="D268" s="737">
        <f>'Аксессуары (2)'!D268*1.3*($K$2/100+1)</f>
        <v>505.58422200000001</v>
      </c>
      <c r="E268" s="737">
        <f>'Аксессуары (2)'!E268*1.6*($K$2/100+1)</f>
        <v>678.826368</v>
      </c>
      <c r="F268" s="737">
        <f>'Аксессуары (2)'!F268*1.6*($K$2/100+1)</f>
        <v>746.70900480000012</v>
      </c>
      <c r="G268" s="737">
        <f>'Аксессуары (2)'!G268*1.6*($K$2/100+1)</f>
        <v>814.5916416</v>
      </c>
      <c r="H268" s="738">
        <f>'Аксессуары (2)'!H268*1.8*($K$2/100+1)</f>
        <v>1272.79944</v>
      </c>
      <c r="I268" s="738">
        <f>'Аксессуары (2)'!J268*1.5*($K$2/100+1)</f>
        <v>1590.9992999999999</v>
      </c>
      <c r="J268" s="739">
        <f>'Аксессуары (2)'!J268*1.8*($K$2/100+1)</f>
        <v>1909.1991599999999</v>
      </c>
    </row>
    <row r="269" spans="1:10" ht="14.95" customHeight="1">
      <c r="A269" s="414" t="s">
        <v>3104</v>
      </c>
      <c r="B269" s="737">
        <f>'Аксессуары (2)'!B269*1.3*($K$2/100+1)</f>
        <v>497.10568049999995</v>
      </c>
      <c r="C269" s="737">
        <f>'Аксессуары (2)'!C269*1.3*($K$2/100+1)</f>
        <v>552.3396449999999</v>
      </c>
      <c r="D269" s="737">
        <f>'Аксессуары (2)'!D269*1.3*($K$2/100+1)</f>
        <v>607.57360950000009</v>
      </c>
      <c r="E269" s="737">
        <f>'Аксессуары (2)'!E269*1.6*($K$2/100+1)</f>
        <v>815.76316799999995</v>
      </c>
      <c r="F269" s="737">
        <f>'Аксессуары (2)'!F269*1.6*($K$2/100+1)</f>
        <v>897.33948480000004</v>
      </c>
      <c r="G269" s="737">
        <f>'Аксессуары (2)'!G269*1.6*($K$2/100+1)</f>
        <v>978.9158015999999</v>
      </c>
      <c r="H269" s="738">
        <f>'Аксессуары (2)'!H269*1.8*($K$2/100+1)</f>
        <v>1529.5559399999997</v>
      </c>
      <c r="I269" s="738">
        <f>'Аксессуары (2)'!J269*1.5*($K$2/100+1)</f>
        <v>1911.944925</v>
      </c>
      <c r="J269" s="739">
        <f>'Аксессуары (2)'!J269*1.8*($K$2/100+1)</f>
        <v>2294.3339099999998</v>
      </c>
    </row>
    <row r="270" spans="1:10" ht="14.95" customHeight="1">
      <c r="A270" s="414" t="s">
        <v>3105</v>
      </c>
      <c r="B270" s="737">
        <f>'Аксессуары (2)'!B270*1.3*($K$2/100+1)</f>
        <v>532.24078050000003</v>
      </c>
      <c r="C270" s="737">
        <f>'Аксессуары (2)'!C270*1.3*($K$2/100+1)</f>
        <v>591.37864500000001</v>
      </c>
      <c r="D270" s="737">
        <f>'Аксессуары (2)'!D270*1.3*($K$2/100+1)</f>
        <v>650.5165095000001</v>
      </c>
      <c r="E270" s="737">
        <f>'Аксессуары (2)'!E270*1.6*($K$2/100+1)</f>
        <v>873.42076800000007</v>
      </c>
      <c r="F270" s="737">
        <f>'Аксессуары (2)'!F270*1.6*($K$2/100+1)</f>
        <v>960.76284480000015</v>
      </c>
      <c r="G270" s="737">
        <f>'Аксессуары (2)'!G270*1.6*($K$2/100+1)</f>
        <v>1048.1049215999999</v>
      </c>
      <c r="H270" s="738">
        <f>'Аксессуары (2)'!H270*1.8*($K$2/100+1)</f>
        <v>1637.6639400000001</v>
      </c>
      <c r="I270" s="738">
        <f>'Аксессуары (2)'!J270*1.5*($K$2/100+1)</f>
        <v>2047.079925</v>
      </c>
      <c r="J270" s="739">
        <f>'Аксессуары (2)'!J270*1.8*($K$2/100+1)</f>
        <v>2456.4959100000001</v>
      </c>
    </row>
    <row r="271" spans="1:10" ht="14.95" customHeight="1">
      <c r="A271" s="414" t="s">
        <v>3106</v>
      </c>
      <c r="B271" s="737">
        <f>'Аксессуары (2)'!B271*1.3*($K$2/100+1)</f>
        <v>370.443645</v>
      </c>
      <c r="C271" s="737">
        <f>'Аксессуары (2)'!C271*1.3*($K$2/100+1)</f>
        <v>411.60404999999997</v>
      </c>
      <c r="D271" s="737">
        <f>'Аксессуары (2)'!D271*1.3*($K$2/100+1)</f>
        <v>452.76445500000005</v>
      </c>
      <c r="E271" s="737">
        <f>'Аксессуары (2)'!E271*1.6*($K$2/100+1)</f>
        <v>607.90751999999986</v>
      </c>
      <c r="F271" s="737">
        <f>'Аксессуары (2)'!F271*1.6*($K$2/100+1)</f>
        <v>668.69827200000009</v>
      </c>
      <c r="G271" s="737">
        <f>'Аксессуары (2)'!G271*1.6*($K$2/100+1)</f>
        <v>729.48902399999986</v>
      </c>
      <c r="H271" s="738">
        <f>'Аксессуары (2)'!H271*1.8*($K$2/100+1)</f>
        <v>1139.8265999999999</v>
      </c>
      <c r="I271" s="738">
        <f>'Аксессуары (2)'!J271*1.5*($K$2/100+1)</f>
        <v>1424.7832499999997</v>
      </c>
      <c r="J271" s="739">
        <f>'Аксессуары (2)'!J271*1.8*($K$2/100+1)</f>
        <v>1709.7398999999998</v>
      </c>
    </row>
    <row r="272" spans="1:10" ht="14.95" customHeight="1">
      <c r="A272" s="414" t="s">
        <v>3107</v>
      </c>
      <c r="B272" s="737">
        <f>'Аксессуары (2)'!B272*1.3*($K$2/100+1)</f>
        <v>372.2004</v>
      </c>
      <c r="C272" s="737">
        <f>'Аксессуары (2)'!C272*1.3*($K$2/100+1)</f>
        <v>413.55599999999998</v>
      </c>
      <c r="D272" s="737">
        <f>'Аксессуары (2)'!D272*1.3*($K$2/100+1)</f>
        <v>454.91160000000008</v>
      </c>
      <c r="E272" s="737">
        <f>'Аксессуары (2)'!E272*1.6*($K$2/100+1)</f>
        <v>610.79040000000009</v>
      </c>
      <c r="F272" s="737">
        <f>'Аксессуары (2)'!F272*1.6*($K$2/100+1)</f>
        <v>671.86944000000005</v>
      </c>
      <c r="G272" s="737">
        <f>'Аксессуары (2)'!G272*1.6*($K$2/100+1)</f>
        <v>732.94848000000002</v>
      </c>
      <c r="H272" s="738">
        <f>'Аксессуары (2)'!H272*1.8*($K$2/100+1)</f>
        <v>1145.232</v>
      </c>
      <c r="I272" s="738">
        <f>'Аксессуары (2)'!J272*1.5*($K$2/100+1)</f>
        <v>1431.5400000000002</v>
      </c>
      <c r="J272" s="739">
        <f>'Аксессуары (2)'!J272*1.8*($K$2/100+1)</f>
        <v>1717.8480000000002</v>
      </c>
    </row>
    <row r="273" spans="1:10" ht="14.95" customHeight="1">
      <c r="A273" s="414" t="s">
        <v>3108</v>
      </c>
      <c r="B273" s="737">
        <f>'Аксессуары (2)'!B273*1.3*($K$2/100+1)</f>
        <v>374.8355325</v>
      </c>
      <c r="C273" s="737">
        <f>'Аксессуары (2)'!C273*1.3*($K$2/100+1)</f>
        <v>416.483925</v>
      </c>
      <c r="D273" s="737">
        <f>'Аксессуары (2)'!D273*1.3*($K$2/100+1)</f>
        <v>458.1323175</v>
      </c>
      <c r="E273" s="737">
        <f>'Аксессуары (2)'!E273*1.6*($K$2/100+1)</f>
        <v>615.11472000000003</v>
      </c>
      <c r="F273" s="737">
        <f>'Аксессуары (2)'!F273*1.6*($K$2/100+1)</f>
        <v>676.62619199999995</v>
      </c>
      <c r="G273" s="737">
        <f>'Аксессуары (2)'!G273*1.6*($K$2/100+1)</f>
        <v>738.13766400000009</v>
      </c>
      <c r="H273" s="738">
        <f>'Аксессуары (2)'!H273*1.8*($K$2/100+1)</f>
        <v>1153.3400999999999</v>
      </c>
      <c r="I273" s="738">
        <f>'Аксессуары (2)'!J273*1.5*($K$2/100+1)</f>
        <v>1441.675125</v>
      </c>
      <c r="J273" s="739">
        <f>'Аксессуары (2)'!J273*1.8*($K$2/100+1)</f>
        <v>1730.0101499999998</v>
      </c>
    </row>
    <row r="274" spans="1:10" ht="14.95" customHeight="1">
      <c r="A274" s="414" t="s">
        <v>3109</v>
      </c>
      <c r="B274" s="737">
        <f>'Аксессуары (2)'!B274*1.3*($K$2/100+1)</f>
        <v>409.97063249999991</v>
      </c>
      <c r="C274" s="737">
        <f>'Аксессуары (2)'!C274*1.3*($K$2/100+1)</f>
        <v>455.52292499999999</v>
      </c>
      <c r="D274" s="737">
        <f>'Аксессуары (2)'!D274*1.3*($K$2/100+1)</f>
        <v>501.07521749999995</v>
      </c>
      <c r="E274" s="737">
        <f>'Аксессуары (2)'!E274*1.6*($K$2/100+1)</f>
        <v>672.77231999999992</v>
      </c>
      <c r="F274" s="737">
        <f>'Аксессуары (2)'!F274*1.6*($K$2/100+1)</f>
        <v>740.04955199999995</v>
      </c>
      <c r="G274" s="737">
        <f>'Аксессуары (2)'!G274*1.6*($K$2/100+1)</f>
        <v>807.32678399999986</v>
      </c>
      <c r="H274" s="738">
        <f>'Аксессуары (2)'!H274*1.8*($K$2/100+1)</f>
        <v>1261.4480999999998</v>
      </c>
      <c r="I274" s="738">
        <f>'Аксессуары (2)'!J274*1.5*($K$2/100+1)</f>
        <v>1576.8101249999997</v>
      </c>
      <c r="J274" s="739">
        <f>'Аксессуары (2)'!J274*1.8*($K$2/100+1)</f>
        <v>1892.1721499999999</v>
      </c>
    </row>
    <row r="275" spans="1:10" ht="14.95" customHeight="1">
      <c r="A275" s="414" t="s">
        <v>3110</v>
      </c>
      <c r="B275" s="737">
        <f>'Аксессуары (2)'!B275*1.3*($K$2/100+1)</f>
        <v>442.11924899999997</v>
      </c>
      <c r="C275" s="737">
        <f>'Аксессуары (2)'!C275*1.3*($K$2/100+1)</f>
        <v>491.24360999999993</v>
      </c>
      <c r="D275" s="737">
        <f>'Аксессуары (2)'!D275*1.3*($K$2/100+1)</f>
        <v>540.36797100000001</v>
      </c>
      <c r="E275" s="737">
        <f>'Аксессуары (2)'!E275*1.6*($K$2/100+1)</f>
        <v>725.52902399999982</v>
      </c>
      <c r="F275" s="737">
        <f>'Аксессуары (2)'!F275*1.6*($K$2/100+1)</f>
        <v>798.08192639999982</v>
      </c>
      <c r="G275" s="737">
        <f>'Аксессуары (2)'!G275*1.6*($K$2/100+1)</f>
        <v>870.6348287999997</v>
      </c>
      <c r="H275" s="738">
        <f>'Аксессуары (2)'!H275*1.8*($K$2/100+1)</f>
        <v>1360.3669199999999</v>
      </c>
      <c r="I275" s="738">
        <f>'Аксессуары (2)'!J275*1.5*($K$2/100+1)</f>
        <v>1700.4586499999994</v>
      </c>
      <c r="J275" s="739">
        <f>'Аксессуары (2)'!J275*1.8*($K$2/100+1)</f>
        <v>2040.5503799999997</v>
      </c>
    </row>
    <row r="276" spans="1:10" ht="14.95" customHeight="1">
      <c r="A276" s="414" t="s">
        <v>3111</v>
      </c>
      <c r="B276" s="737">
        <f>'Аксессуары (2)'!B276*1.3*($K$2/100+1)</f>
        <v>477.25434899999993</v>
      </c>
      <c r="C276" s="737">
        <f>'Аксессуары (2)'!C276*1.3*($K$2/100+1)</f>
        <v>530.28260999999986</v>
      </c>
      <c r="D276" s="737">
        <f>'Аксессуары (2)'!D276*1.3*($K$2/100+1)</f>
        <v>583.31087100000002</v>
      </c>
      <c r="E276" s="737">
        <f>'Аксессуары (2)'!E276*1.6*($K$2/100+1)</f>
        <v>783.18662399999994</v>
      </c>
      <c r="F276" s="737">
        <f>'Аксессуары (2)'!F276*1.6*($K$2/100+1)</f>
        <v>861.50528639999993</v>
      </c>
      <c r="G276" s="737">
        <f>'Аксессуары (2)'!G276*1.6*($K$2/100+1)</f>
        <v>939.82394879999981</v>
      </c>
      <c r="H276" s="738">
        <f>'Аксессуары (2)'!H276*1.8*($K$2/100+1)</f>
        <v>1468.4749199999997</v>
      </c>
      <c r="I276" s="738">
        <f>'Аксессуары (2)'!J276*1.5*($K$2/100+1)</f>
        <v>1835.5936499999996</v>
      </c>
      <c r="J276" s="739">
        <f>'Аксессуары (2)'!J276*1.8*($K$2/100+1)</f>
        <v>2202.7123799999995</v>
      </c>
    </row>
    <row r="277" spans="1:10" ht="14.95" customHeight="1" thickBot="1">
      <c r="A277" s="415" t="s">
        <v>3112</v>
      </c>
      <c r="B277" s="737">
        <f>'Аксессуары (2)'!B277*1.3*($K$2/100+1)</f>
        <v>512.38944900000001</v>
      </c>
      <c r="C277" s="737">
        <f>'Аксессуары (2)'!C277*1.3*($K$2/100+1)</f>
        <v>569.32160999999996</v>
      </c>
      <c r="D277" s="737">
        <f>'Аксессуары (2)'!D277*1.3*($K$2/100+1)</f>
        <v>626.25377100000003</v>
      </c>
      <c r="E277" s="737">
        <f>'Аксессуары (2)'!E277*1.6*($K$2/100+1)</f>
        <v>840.84422400000005</v>
      </c>
      <c r="F277" s="737">
        <f>'Аксессуары (2)'!F277*1.6*($K$2/100+1)</f>
        <v>924.92864639999993</v>
      </c>
      <c r="G277" s="737">
        <f>'Аксессуары (2)'!G277*1.6*($K$2/100+1)</f>
        <v>1009.0130687999999</v>
      </c>
      <c r="H277" s="738">
        <f>'Аксессуары (2)'!H277*1.8*($K$2/100+1)</f>
        <v>1576.5829200000001</v>
      </c>
      <c r="I277" s="738">
        <f>'Аксессуары (2)'!J277*1.5*($K$2/100+1)</f>
        <v>1970.72865</v>
      </c>
      <c r="J277" s="739">
        <f>'Аксессуары (2)'!J277*1.8*($K$2/100+1)</f>
        <v>2364.8743799999997</v>
      </c>
    </row>
    <row r="278" spans="1:10" s="254" customFormat="1" ht="14.95" customHeight="1" thickBot="1">
      <c r="A278" s="615" t="s">
        <v>3113</v>
      </c>
      <c r="B278" s="842"/>
      <c r="C278" s="843"/>
      <c r="D278" s="843"/>
      <c r="E278" s="843"/>
      <c r="F278" s="843"/>
      <c r="G278" s="843"/>
      <c r="H278" s="843"/>
      <c r="I278" s="843"/>
      <c r="J278" s="844"/>
    </row>
    <row r="279" spans="1:10" ht="14.95" customHeight="1">
      <c r="A279" s="423" t="s">
        <v>3114</v>
      </c>
      <c r="B279" s="737">
        <f>'Аксессуары (2)'!B279*1.3*($K$2/100+1)</f>
        <v>71.432361</v>
      </c>
      <c r="C279" s="737">
        <f>'Аксессуары (2)'!C279*1.3*($K$2/100+1)</f>
        <v>79.369290000000007</v>
      </c>
      <c r="D279" s="737">
        <f>'Аксессуары (2)'!D279*1.3*($K$2/100+1)</f>
        <v>87.306219000000013</v>
      </c>
      <c r="E279" s="737">
        <f>'Аксессуары (2)'!E279*1.6*($K$2/100+1)</f>
        <v>117.222336</v>
      </c>
      <c r="F279" s="737">
        <f>'Аксессуары (2)'!F279*1.6*($K$2/100+1)</f>
        <v>128.94456960000002</v>
      </c>
      <c r="G279" s="737">
        <f>'Аксессуары (2)'!G279*1.6*($K$2/100+1)</f>
        <v>140.6668032</v>
      </c>
      <c r="H279" s="738">
        <f>'Аксессуары (2)'!H279*1.8*($K$2/100+1)</f>
        <v>219.79187999999999</v>
      </c>
      <c r="I279" s="738">
        <f>'Аксессуары (2)'!J279*1.48*($K$2/100+1)</f>
        <v>271.07665199999997</v>
      </c>
      <c r="J279" s="739">
        <f>'Аксессуары (2)'!J279*1.8*($K$2/100+1)</f>
        <v>329.68781999999999</v>
      </c>
    </row>
    <row r="280" spans="1:10" ht="14.95" customHeight="1">
      <c r="A280" s="414" t="s">
        <v>3115</v>
      </c>
      <c r="B280" s="737">
        <f>'Аксессуары (2)'!B280*1.3*($K$2/100+1)</f>
        <v>71.959387499999991</v>
      </c>
      <c r="C280" s="737">
        <f>'Аксессуары (2)'!C280*1.3*($K$2/100+1)</f>
        <v>79.954875000000001</v>
      </c>
      <c r="D280" s="737">
        <f>'Аксессуары (2)'!D280*1.3*($K$2/100+1)</f>
        <v>87.950362500000011</v>
      </c>
      <c r="E280" s="737">
        <f>'Аксессуары (2)'!E280*1.6*($K$2/100+1)</f>
        <v>118.0872</v>
      </c>
      <c r="F280" s="737">
        <f>'Аксессуары (2)'!F280*1.6*($K$2/100+1)</f>
        <v>129.89592000000002</v>
      </c>
      <c r="G280" s="737">
        <f>'Аксессуары (2)'!G280*1.6*($K$2/100+1)</f>
        <v>141.70463999999998</v>
      </c>
      <c r="H280" s="738">
        <f>'Аксессуары (2)'!H280*1.8*($K$2/100+1)</f>
        <v>221.41349999999997</v>
      </c>
      <c r="I280" s="738">
        <f>'Аксессуары (2)'!J280*1.48*($K$2/100+1)</f>
        <v>273.07664999999997</v>
      </c>
      <c r="J280" s="739">
        <f>'Аксессуары (2)'!J280*1.8*($K$2/100+1)</f>
        <v>332.12025</v>
      </c>
    </row>
    <row r="281" spans="1:10" ht="14.95" customHeight="1">
      <c r="A281" s="414" t="s">
        <v>3116</v>
      </c>
      <c r="B281" s="737">
        <f>'Аксессуары (2)'!B281*1.3*($K$2/100+1)</f>
        <v>73.891818000000001</v>
      </c>
      <c r="C281" s="737">
        <f>'Аксессуары (2)'!C281*1.3*($K$2/100+1)</f>
        <v>82.102019999999982</v>
      </c>
      <c r="D281" s="737">
        <f>'Аксессуары (2)'!D281*1.3*($K$2/100+1)</f>
        <v>90.312222000000006</v>
      </c>
      <c r="E281" s="737">
        <f>'Аксессуары (2)'!E281*1.6*($K$2/100+1)</f>
        <v>121.25836799999999</v>
      </c>
      <c r="F281" s="737">
        <f>'Аксессуары (2)'!F281*1.6*($K$2/100+1)</f>
        <v>133.38420479999999</v>
      </c>
      <c r="G281" s="737">
        <f>'Аксессуары (2)'!G281*1.6*($K$2/100+1)</f>
        <v>145.51004159999999</v>
      </c>
      <c r="H281" s="738">
        <f>'Аксессуары (2)'!H281*1.8*($K$2/100+1)</f>
        <v>227.35943999999998</v>
      </c>
      <c r="I281" s="738">
        <f>'Аксессуары (2)'!J281*1.48*($K$2/100+1)</f>
        <v>280.40997599999997</v>
      </c>
      <c r="J281" s="739">
        <f>'Аксессуары (2)'!J281*1.8*($K$2/100+1)</f>
        <v>341.03915999999998</v>
      </c>
    </row>
    <row r="282" spans="1:10" ht="14.95" customHeight="1">
      <c r="A282" s="414" t="s">
        <v>3117</v>
      </c>
      <c r="B282" s="737">
        <f>'Аксессуары (2)'!B282*1.3*($K$2/100+1)</f>
        <v>76.526950499999998</v>
      </c>
      <c r="C282" s="737">
        <f>'Аксессуары (2)'!C282*1.3*($K$2/100+1)</f>
        <v>85.029944999999984</v>
      </c>
      <c r="D282" s="737">
        <f>'Аксессуары (2)'!D282*1.3*($K$2/100+1)</f>
        <v>93.532939499999998</v>
      </c>
      <c r="E282" s="737">
        <f>'Аксессуары (2)'!E282*1.6*($K$2/100+1)</f>
        <v>125.58268799999999</v>
      </c>
      <c r="F282" s="737">
        <f>'Аксессуары (2)'!F282*1.6*($K$2/100+1)</f>
        <v>138.14095679999997</v>
      </c>
      <c r="G282" s="737">
        <f>'Аксессуары (2)'!G282*1.6*($K$2/100+1)</f>
        <v>150.69922559999998</v>
      </c>
      <c r="H282" s="738">
        <f>'Аксессуары (2)'!H282*1.8*($K$2/100+1)</f>
        <v>235.46753999999996</v>
      </c>
      <c r="I282" s="738">
        <f>'Аксессуары (2)'!J282*1.48*($K$2/100+1)</f>
        <v>290.409966</v>
      </c>
      <c r="J282" s="739">
        <f>'Аксессуары (2)'!J282*1.8*($K$2/100+1)</f>
        <v>353.20131000000003</v>
      </c>
    </row>
    <row r="283" spans="1:10" ht="14.95" customHeight="1">
      <c r="A283" s="414" t="s">
        <v>3118</v>
      </c>
      <c r="B283" s="737">
        <f>'Аксессуары (2)'!B283*1.3*($K$2/100+1)</f>
        <v>78.986407500000013</v>
      </c>
      <c r="C283" s="737">
        <f>'Аксессуары (2)'!C283*1.3*($K$2/100+1)</f>
        <v>87.762675000000002</v>
      </c>
      <c r="D283" s="737">
        <f>'Аксессуары (2)'!D283*1.3*($K$2/100+1)</f>
        <v>96.538942500000005</v>
      </c>
      <c r="E283" s="737">
        <f>'Аксессуары (2)'!E283*1.6*($K$2/100+1)</f>
        <v>129.61872</v>
      </c>
      <c r="F283" s="737">
        <f>'Аксессуары (2)'!F283*1.6*($K$2/100+1)</f>
        <v>142.58059200000002</v>
      </c>
      <c r="G283" s="737">
        <f>'Аксессуары (2)'!G283*1.6*($K$2/100+1)</f>
        <v>155.542464</v>
      </c>
      <c r="H283" s="738">
        <f>'Аксессуары (2)'!H283*1.8*($K$2/100+1)</f>
        <v>243.0351</v>
      </c>
      <c r="I283" s="738">
        <f>'Аксессуары (2)'!J283*1.48*($K$2/100+1)</f>
        <v>299.74329</v>
      </c>
      <c r="J283" s="739">
        <f>'Аксессуары (2)'!J283*1.8*($K$2/100+1)</f>
        <v>364.55264999999997</v>
      </c>
    </row>
    <row r="284" spans="1:10" ht="14.95" customHeight="1">
      <c r="A284" s="414" t="s">
        <v>3119</v>
      </c>
      <c r="B284" s="737">
        <f>'Аксессуары (2)'!B284*1.3*($K$2/100+1)</f>
        <v>81.445864499999999</v>
      </c>
      <c r="C284" s="737">
        <f>'Аксессуары (2)'!C284*1.3*($K$2/100+1)</f>
        <v>90.495404999999991</v>
      </c>
      <c r="D284" s="737">
        <f>'Аксессуары (2)'!D284*1.3*($K$2/100+1)</f>
        <v>99.544945499999997</v>
      </c>
      <c r="E284" s="737">
        <f>'Аксессуары (2)'!E284*1.6*($K$2/100+1)</f>
        <v>133.654752</v>
      </c>
      <c r="F284" s="737">
        <f>'Аксессуары (2)'!F284*1.6*($K$2/100+1)</f>
        <v>147.02022720000002</v>
      </c>
      <c r="G284" s="737">
        <f>'Аксессуары (2)'!G284*1.6*($K$2/100+1)</f>
        <v>160.38570239999999</v>
      </c>
      <c r="H284" s="738">
        <f>'Аксессуары (2)'!H284*1.8*($K$2/100+1)</f>
        <v>250.60266000000001</v>
      </c>
      <c r="I284" s="738">
        <f>'Аксессуары (2)'!J284*1.48*($K$2/100+1)</f>
        <v>309.07661400000001</v>
      </c>
      <c r="J284" s="739">
        <f>'Аксессуары (2)'!J284*1.8*($K$2/100+1)</f>
        <v>375.90399000000002</v>
      </c>
    </row>
    <row r="285" spans="1:10" ht="14.95" customHeight="1">
      <c r="A285" s="414" t="s">
        <v>3120</v>
      </c>
      <c r="B285" s="737">
        <f>'Аксессуары (2)'!B285*1.3*($K$2/100+1)</f>
        <v>83.905321499999999</v>
      </c>
      <c r="C285" s="737">
        <f>'Аксессуары (2)'!C285*1.3*($K$2/100+1)</f>
        <v>93.228135000000009</v>
      </c>
      <c r="D285" s="737">
        <f>'Аксессуары (2)'!D285*1.3*($K$2/100+1)</f>
        <v>102.5509485</v>
      </c>
      <c r="E285" s="737">
        <f>'Аксессуары (2)'!E285*1.6*($K$2/100+1)</f>
        <v>137.69078399999998</v>
      </c>
      <c r="F285" s="737">
        <f>'Аксессуары (2)'!F285*1.6*($K$2/100+1)</f>
        <v>151.45986240000002</v>
      </c>
      <c r="G285" s="737">
        <f>'Аксессуары (2)'!G285*1.6*($K$2/100+1)</f>
        <v>165.2289408</v>
      </c>
      <c r="H285" s="738">
        <f>'Аксессуары (2)'!H285*1.8*($K$2/100+1)</f>
        <v>258.17021999999997</v>
      </c>
      <c r="I285" s="738">
        <f>'Аксессуары (2)'!J285*1.48*($K$2/100+1)</f>
        <v>318.40993800000001</v>
      </c>
      <c r="J285" s="739">
        <f>'Аксессуары (2)'!J285*1.8*($K$2/100+1)</f>
        <v>387.25533000000001</v>
      </c>
    </row>
    <row r="286" spans="1:10" ht="14.95" customHeight="1">
      <c r="A286" s="414" t="s">
        <v>3121</v>
      </c>
      <c r="B286" s="737">
        <f>'Аксессуары (2)'!B286*1.3*($K$2/100+1)</f>
        <v>88.8242355</v>
      </c>
      <c r="C286" s="737">
        <f>'Аксессуары (2)'!C286*1.3*($K$2/100+1)</f>
        <v>98.693594999999988</v>
      </c>
      <c r="D286" s="737">
        <f>'Аксессуары (2)'!D286*1.3*($K$2/100+1)</f>
        <v>108.5629545</v>
      </c>
      <c r="E286" s="737">
        <f>'Аксессуары (2)'!E286*1.6*($K$2/100+1)</f>
        <v>145.76284799999996</v>
      </c>
      <c r="F286" s="737">
        <f>'Аксессуары (2)'!F286*1.6*($K$2/100+1)</f>
        <v>160.33913279999999</v>
      </c>
      <c r="G286" s="737">
        <f>'Аксессуары (2)'!G286*1.6*($K$2/100+1)</f>
        <v>174.91541759999998</v>
      </c>
      <c r="H286" s="738">
        <f>'Аксессуары (2)'!H286*1.8*($K$2/100+1)</f>
        <v>273.30534</v>
      </c>
      <c r="I286" s="738">
        <f>'Аксессуары (2)'!J286*1.48*($K$2/100+1)</f>
        <v>337.07658599999991</v>
      </c>
      <c r="J286" s="739">
        <f>'Аксессуары (2)'!J286*1.8*($K$2/100+1)</f>
        <v>409.95800999999994</v>
      </c>
    </row>
    <row r="287" spans="1:10" ht="14.95" customHeight="1" thickBot="1">
      <c r="A287" s="415" t="s">
        <v>3122</v>
      </c>
      <c r="B287" s="737">
        <f>'Аксессуары (2)'!B287*1.3*($K$2/100+1)</f>
        <v>93.743149500000001</v>
      </c>
      <c r="C287" s="737">
        <f>'Аксессуары (2)'!C287*1.3*($K$2/100+1)</f>
        <v>104.159055</v>
      </c>
      <c r="D287" s="737">
        <f>'Аксессуары (2)'!D287*1.3*($K$2/100+1)</f>
        <v>114.57496050000002</v>
      </c>
      <c r="E287" s="737">
        <f>'Аксессуары (2)'!E287*1.6*($K$2/100+1)</f>
        <v>153.83491199999997</v>
      </c>
      <c r="F287" s="737">
        <f>'Аксессуары (2)'!F287*1.6*($K$2/100+1)</f>
        <v>169.21840320000001</v>
      </c>
      <c r="G287" s="737">
        <f>'Аксессуары (2)'!G287*1.6*($K$2/100+1)</f>
        <v>184.60189439999996</v>
      </c>
      <c r="H287" s="738">
        <f>'Аксессуары (2)'!H287*1.8*($K$2/100+1)</f>
        <v>288.44045999999997</v>
      </c>
      <c r="I287" s="738">
        <f>'Аксессуары (2)'!J287*1.48*($K$2/100+1)</f>
        <v>355.74323399999997</v>
      </c>
      <c r="J287" s="739">
        <f>'Аксессуары (2)'!J287*1.8*($K$2/100+1)</f>
        <v>432.66068999999993</v>
      </c>
    </row>
    <row r="288" spans="1:10" s="254" customFormat="1" ht="14.95" customHeight="1" thickBot="1">
      <c r="A288" s="615" t="s">
        <v>3237</v>
      </c>
      <c r="B288" s="842"/>
      <c r="C288" s="843"/>
      <c r="D288" s="843"/>
      <c r="E288" s="843"/>
      <c r="F288" s="843"/>
      <c r="G288" s="843"/>
      <c r="H288" s="843"/>
      <c r="I288" s="843"/>
      <c r="J288" s="844"/>
    </row>
    <row r="289" spans="1:10" ht="14.95" customHeight="1">
      <c r="A289" s="423" t="s">
        <v>3238</v>
      </c>
      <c r="B289" s="737">
        <f>'Аксессуары (2)'!B289*1.3*($K$2/100+1)</f>
        <v>258.011325</v>
      </c>
      <c r="C289" s="737">
        <f>'Аксессуары (2)'!C289*1.3*($K$2/100+1)</f>
        <v>286.67924999999997</v>
      </c>
      <c r="D289" s="737">
        <f>'Аксессуары (2)'!D289*1.3*($K$2/100+1)</f>
        <v>315.34717499999999</v>
      </c>
      <c r="E289" s="737">
        <f>'Аксессуары (2)'!E289*1.6*($K$2/100+1)</f>
        <v>423.40319999999997</v>
      </c>
      <c r="F289" s="737">
        <f>'Аксессуары (2)'!F289*1.6*($K$2/100+1)</f>
        <v>465.74351999999999</v>
      </c>
      <c r="G289" s="737">
        <f>'Аксессуары (2)'!G289*1.6*($K$2/100+1)</f>
        <v>508.08383999999995</v>
      </c>
      <c r="H289" s="738">
        <f>'Аксессуары (2)'!H289*1.8*($K$2/100+1)</f>
        <v>793.88099999999997</v>
      </c>
      <c r="I289" s="738">
        <f>'Аксессуары (2)'!J289*1.5*($K$2/100+1)</f>
        <v>992.35125000000005</v>
      </c>
      <c r="J289" s="739">
        <f>'Аксессуары (2)'!J289*1.8*($K$2/100+1)</f>
        <v>1190.8215000000002</v>
      </c>
    </row>
    <row r="290" spans="1:10" ht="14.95" customHeight="1">
      <c r="A290" s="414" t="s">
        <v>3239</v>
      </c>
      <c r="B290" s="737">
        <f>'Аксессуары (2)'!B290*1.3*($K$2/100+1)</f>
        <v>259.59240449999999</v>
      </c>
      <c r="C290" s="737">
        <f>'Аксессуары (2)'!C290*1.3*($K$2/100+1)</f>
        <v>288.43600499999997</v>
      </c>
      <c r="D290" s="737">
        <f>'Аксессуары (2)'!D290*1.3*($K$2/100+1)</f>
        <v>317.2796055</v>
      </c>
      <c r="E290" s="737">
        <f>'Аксессуары (2)'!E290*1.6*($K$2/100+1)</f>
        <v>425.99779199999995</v>
      </c>
      <c r="F290" s="737">
        <f>'Аксессуары (2)'!F290*1.6*($K$2/100+1)</f>
        <v>468.5975712</v>
      </c>
      <c r="G290" s="737">
        <f>'Аксессуары (2)'!G290*1.6*($K$2/100+1)</f>
        <v>511.19735039999995</v>
      </c>
      <c r="H290" s="738">
        <f>'Аксессуары (2)'!H290*1.8*($K$2/100+1)</f>
        <v>798.74585999999988</v>
      </c>
      <c r="I290" s="738">
        <f>'Аксессуары (2)'!J290*1.5*($K$2/100+1)</f>
        <v>998.43232499999999</v>
      </c>
      <c r="J290" s="739">
        <f>'Аксессуары (2)'!J290*1.8*($K$2/100+1)</f>
        <v>1198.11879</v>
      </c>
    </row>
    <row r="291" spans="1:10" ht="14.95" customHeight="1">
      <c r="A291" s="414" t="s">
        <v>3240</v>
      </c>
      <c r="B291" s="737">
        <f>'Аксессуары (2)'!B291*1.3*($K$2/100+1)</f>
        <v>260.64645749999994</v>
      </c>
      <c r="C291" s="737">
        <f>'Аксессуары (2)'!C291*1.3*($K$2/100+1)</f>
        <v>289.60717499999998</v>
      </c>
      <c r="D291" s="737">
        <f>'Аксессуары (2)'!D291*1.3*($K$2/100+1)</f>
        <v>318.56789250000003</v>
      </c>
      <c r="E291" s="737">
        <f>'Аксессуары (2)'!E291*1.6*($K$2/100+1)</f>
        <v>427.72751999999991</v>
      </c>
      <c r="F291" s="737">
        <f>'Аксессуары (2)'!F291*1.6*($K$2/100+1)</f>
        <v>470.500272</v>
      </c>
      <c r="G291" s="737">
        <f>'Аксессуары (2)'!G291*1.6*($K$2/100+1)</f>
        <v>513.27302399999996</v>
      </c>
      <c r="H291" s="738">
        <f>'Аксессуары (2)'!H291*1.8*($K$2/100+1)</f>
        <v>801.98909999999989</v>
      </c>
      <c r="I291" s="738">
        <f>'Аксессуары (2)'!J291*1.5*($K$2/100+1)</f>
        <v>1002.4863749999997</v>
      </c>
      <c r="J291" s="739">
        <f>'Аксессуары (2)'!J291*1.8*($K$2/100+1)</f>
        <v>1202.9836499999997</v>
      </c>
    </row>
    <row r="292" spans="1:10" ht="14.95" customHeight="1">
      <c r="A292" s="414" t="s">
        <v>3241</v>
      </c>
      <c r="B292" s="737">
        <f>'Аксессуары (2)'!B292*1.3*($K$2/100+1)</f>
        <v>261.524835</v>
      </c>
      <c r="C292" s="737">
        <f>'Аксессуары (2)'!C292*1.3*($K$2/100+1)</f>
        <v>290.58314999999999</v>
      </c>
      <c r="D292" s="737">
        <f>'Аксессуары (2)'!D292*1.3*($K$2/100+1)</f>
        <v>319.64146500000004</v>
      </c>
      <c r="E292" s="737">
        <f>'Аксессуары (2)'!E292*1.6*($K$2/100+1)</f>
        <v>429.16895999999997</v>
      </c>
      <c r="F292" s="737">
        <f>'Аксессуары (2)'!F292*1.6*($K$2/100+1)</f>
        <v>472.08585600000009</v>
      </c>
      <c r="G292" s="737">
        <f>'Аксессуары (2)'!G292*1.6*($K$2/100+1)</f>
        <v>515.00275199999999</v>
      </c>
      <c r="H292" s="738">
        <f>'Аксессуары (2)'!H292*1.8*($K$2/100+1)</f>
        <v>804.69179999999994</v>
      </c>
      <c r="I292" s="738">
        <f>'Аксессуары (2)'!J292*1.5*($K$2/100+1)</f>
        <v>1005.86475</v>
      </c>
      <c r="J292" s="739">
        <f>'Аксессуары (2)'!J292*1.8*($K$2/100+1)</f>
        <v>1207.0376999999999</v>
      </c>
    </row>
    <row r="293" spans="1:10" ht="14.95" customHeight="1">
      <c r="A293" s="414" t="s">
        <v>3242</v>
      </c>
      <c r="B293" s="737">
        <f>'Аксессуары (2)'!B293*1.3*($K$2/100+1)</f>
        <v>268.7275305</v>
      </c>
      <c r="C293" s="737">
        <f>'Аксессуары (2)'!C293*1.3*($K$2/100+1)</f>
        <v>298.58614499999999</v>
      </c>
      <c r="D293" s="737">
        <f>'Аксессуары (2)'!D293*1.3*($K$2/100+1)</f>
        <v>328.44475949999998</v>
      </c>
      <c r="E293" s="737">
        <f>'Аксессуары (2)'!E293*1.6*($K$2/100+1)</f>
        <v>440.98876799999999</v>
      </c>
      <c r="F293" s="737">
        <f>'Аксессуары (2)'!F293*1.6*($K$2/100+1)</f>
        <v>485.08764480000002</v>
      </c>
      <c r="G293" s="737">
        <f>'Аксессуары (2)'!G293*1.6*($K$2/100+1)</f>
        <v>529.18652159999988</v>
      </c>
      <c r="H293" s="738">
        <f>'Аксессуары (2)'!H293*1.8*($K$2/100+1)</f>
        <v>826.85393999999997</v>
      </c>
      <c r="I293" s="738">
        <f>'Аксессуары (2)'!J293*1.5*($K$2/100+1)</f>
        <v>1033.5674249999997</v>
      </c>
      <c r="J293" s="739">
        <f>'Аксессуары (2)'!J293*1.8*($K$2/100+1)</f>
        <v>1240.2809099999999</v>
      </c>
    </row>
    <row r="294" spans="1:10" ht="14.95" customHeight="1">
      <c r="A294" s="414" t="s">
        <v>3243</v>
      </c>
      <c r="B294" s="737">
        <f>'Аксессуары (2)'!B294*1.3*($K$2/100+1)</f>
        <v>271.362663</v>
      </c>
      <c r="C294" s="737">
        <f>'Аксессуары (2)'!C294*1.3*($K$2/100+1)</f>
        <v>301.51407</v>
      </c>
      <c r="D294" s="737">
        <f>'Аксессуары (2)'!D294*1.3*($K$2/100+1)</f>
        <v>331.66547700000001</v>
      </c>
      <c r="E294" s="737">
        <f>'Аксессуары (2)'!E294*1.6*($K$2/100+1)</f>
        <v>445.31308799999999</v>
      </c>
      <c r="F294" s="737">
        <f>'Аксессуары (2)'!F294*1.6*($K$2/100+1)</f>
        <v>489.84439680000003</v>
      </c>
      <c r="G294" s="737">
        <f>'Аксессуары (2)'!G294*1.6*($K$2/100+1)</f>
        <v>534.37570560000006</v>
      </c>
      <c r="H294" s="738">
        <f>'Аксессуары (2)'!H294*1.8*($K$2/100+1)</f>
        <v>834.96204</v>
      </c>
      <c r="I294" s="738">
        <f>'Аксессуары (2)'!J294*1.5*($K$2/100+1)</f>
        <v>1043.70255</v>
      </c>
      <c r="J294" s="739">
        <f>'Аксессуары (2)'!J294*1.8*($K$2/100+1)</f>
        <v>1252.4430599999998</v>
      </c>
    </row>
    <row r="295" spans="1:10" ht="14.95" customHeight="1">
      <c r="A295" s="414" t="s">
        <v>3244</v>
      </c>
      <c r="B295" s="737">
        <f>'Аксессуары (2)'!B295*1.3*($K$2/100+1)</f>
        <v>276.10590149999996</v>
      </c>
      <c r="C295" s="737">
        <f>'Аксессуары (2)'!C295*1.3*($K$2/100+1)</f>
        <v>306.784335</v>
      </c>
      <c r="D295" s="737">
        <f>'Аксессуары (2)'!D295*1.3*($K$2/100+1)</f>
        <v>337.46276850000004</v>
      </c>
      <c r="E295" s="737">
        <f>'Аксессуары (2)'!E295*1.6*($K$2/100+1)</f>
        <v>453.09686400000004</v>
      </c>
      <c r="F295" s="737">
        <f>'Аксессуары (2)'!F295*1.6*($K$2/100+1)</f>
        <v>498.40655039999996</v>
      </c>
      <c r="G295" s="737">
        <f>'Аксессуары (2)'!G295*1.6*($K$2/100+1)</f>
        <v>543.71623679999993</v>
      </c>
      <c r="H295" s="738">
        <f>'Аксессуары (2)'!H295*1.8*($K$2/100+1)</f>
        <v>849.55661999999995</v>
      </c>
      <c r="I295" s="738">
        <f>'Аксессуары (2)'!J295*1.5*($K$2/100+1)</f>
        <v>1061.9457749999999</v>
      </c>
      <c r="J295" s="739">
        <f>'Аксессуары (2)'!J295*1.8*($K$2/100+1)</f>
        <v>1274.3349299999998</v>
      </c>
    </row>
    <row r="296" spans="1:10" ht="14.95" customHeight="1">
      <c r="A296" s="414" t="s">
        <v>3245</v>
      </c>
      <c r="B296" s="737">
        <f>'Аксессуары (2)'!B296*1.3*($K$2/100+1)</f>
        <v>281.90319299999999</v>
      </c>
      <c r="C296" s="737">
        <f>'Аксессуары (2)'!C296*1.3*($K$2/100+1)</f>
        <v>313.22577000000001</v>
      </c>
      <c r="D296" s="737">
        <f>'Аксессуары (2)'!D296*1.3*($K$2/100+1)</f>
        <v>344.54834700000009</v>
      </c>
      <c r="E296" s="737">
        <f>'Аксессуары (2)'!E296*1.6*($K$2/100+1)</f>
        <v>462.61036800000005</v>
      </c>
      <c r="F296" s="737">
        <f>'Аксессуары (2)'!F296*1.6*($K$2/100+1)</f>
        <v>508.87140480000011</v>
      </c>
      <c r="G296" s="737">
        <f>'Аксессуары (2)'!G296*1.6*($K$2/100+1)</f>
        <v>555.13244159999988</v>
      </c>
      <c r="H296" s="738">
        <f>'Аксессуары (2)'!H296*1.8*($K$2/100+1)</f>
        <v>867.39444000000003</v>
      </c>
      <c r="I296" s="738">
        <f>'Аксессуары (2)'!J296*1.5*($K$2/100+1)</f>
        <v>1084.24305</v>
      </c>
      <c r="J296" s="739">
        <f>'Аксессуары (2)'!J296*1.8*($K$2/100+1)</f>
        <v>1301.09166</v>
      </c>
    </row>
    <row r="297" spans="1:10" ht="14.95" customHeight="1">
      <c r="A297" s="414" t="s">
        <v>3246</v>
      </c>
      <c r="B297" s="737">
        <f>'Аксессуары (2)'!B297*1.3*($K$2/100+1)</f>
        <v>297.1869615</v>
      </c>
      <c r="C297" s="737">
        <f>'Аксессуары (2)'!C297*1.3*($K$2/100+1)</f>
        <v>330.20773499999996</v>
      </c>
      <c r="D297" s="737">
        <f>'Аксессуары (2)'!D297*1.3*($K$2/100+1)</f>
        <v>363.22850850000003</v>
      </c>
      <c r="E297" s="737">
        <f>'Аксессуары (2)'!E297*1.6*($K$2/100+1)</f>
        <v>487.69142399999998</v>
      </c>
      <c r="F297" s="737">
        <f>'Аксессуары (2)'!F297*1.6*($K$2/100+1)</f>
        <v>536.46056639999995</v>
      </c>
      <c r="G297" s="737">
        <f>'Аксессуары (2)'!G297*1.6*($K$2/100+1)</f>
        <v>585.22970879999991</v>
      </c>
      <c r="H297" s="738">
        <f>'Аксессуары (2)'!H297*1.8*($K$2/100+1)</f>
        <v>914.4214199999999</v>
      </c>
      <c r="I297" s="738">
        <f>'Аксессуары (2)'!J297*1.5*($K$2/100+1)</f>
        <v>1143.0267749999998</v>
      </c>
      <c r="J297" s="739">
        <f>'Аксессуары (2)'!J297*1.8*($K$2/100+1)</f>
        <v>1371.63213</v>
      </c>
    </row>
    <row r="298" spans="1:10" ht="14.95" customHeight="1">
      <c r="A298" s="414" t="s">
        <v>3247</v>
      </c>
      <c r="B298" s="737">
        <f>'Аксессуары (2)'!B298*1.3*($K$2/100+1)</f>
        <v>277.86265650000001</v>
      </c>
      <c r="C298" s="737">
        <f>'Аксессуары (2)'!C298*1.3*($K$2/100+1)</f>
        <v>308.73628499999995</v>
      </c>
      <c r="D298" s="737">
        <f>'Аксессуары (2)'!D298*1.3*($K$2/100+1)</f>
        <v>339.6099135</v>
      </c>
      <c r="E298" s="737">
        <f>'Аксессуары (2)'!E298*1.6*($K$2/100+1)</f>
        <v>455.97974399999998</v>
      </c>
      <c r="F298" s="737">
        <f>'Аксессуары (2)'!F298*1.6*($K$2/100+1)</f>
        <v>501.57771839999998</v>
      </c>
      <c r="G298" s="737">
        <f>'Аксессуары (2)'!G298*1.6*($K$2/100+1)</f>
        <v>547.17569279999998</v>
      </c>
      <c r="H298" s="738">
        <f>'Аксессуары (2)'!H298*1.8*($K$2/100+1)</f>
        <v>854.96202000000005</v>
      </c>
      <c r="I298" s="738">
        <f>'Аксессуары (2)'!J298*1.5*($K$2/100+1)</f>
        <v>1068.7025249999999</v>
      </c>
      <c r="J298" s="739">
        <f>'Аксессуары (2)'!J298*1.8*($K$2/100+1)</f>
        <v>1282.4430299999999</v>
      </c>
    </row>
    <row r="299" spans="1:10" ht="14.95" customHeight="1">
      <c r="A299" s="414" t="s">
        <v>3248</v>
      </c>
      <c r="B299" s="737">
        <f>'Аксессуары (2)'!B299*1.3*($K$2/100+1)</f>
        <v>295.07885549999997</v>
      </c>
      <c r="C299" s="737">
        <f>'Аксессуары (2)'!C299*1.3*($K$2/100+1)</f>
        <v>327.86539499999998</v>
      </c>
      <c r="D299" s="737">
        <f>'Аксессуары (2)'!D299*1.3*($K$2/100+1)</f>
        <v>360.65193449999998</v>
      </c>
      <c r="E299" s="737">
        <f>'Аксессуары (2)'!E299*1.6*($K$2/100+1)</f>
        <v>484.23196799999999</v>
      </c>
      <c r="F299" s="737">
        <f>'Аксессуары (2)'!F299*1.6*($K$2/100+1)</f>
        <v>532.65516480000008</v>
      </c>
      <c r="G299" s="737">
        <f>'Аксессуары (2)'!G299*1.6*($K$2/100+1)</f>
        <v>581.07836159999999</v>
      </c>
      <c r="H299" s="738">
        <f>'Аксессуары (2)'!H299*1.8*($K$2/100+1)</f>
        <v>907.93493999999998</v>
      </c>
      <c r="I299" s="738">
        <f>'Аксессуары (2)'!J299*1.5*($K$2/100+1)</f>
        <v>1134.9186750000001</v>
      </c>
      <c r="J299" s="739">
        <f>'Аксессуары (2)'!J299*1.8*($K$2/100+1)</f>
        <v>1361.9024099999999</v>
      </c>
    </row>
    <row r="300" spans="1:10" ht="14.95" customHeight="1">
      <c r="A300" s="414" t="s">
        <v>3249</v>
      </c>
      <c r="B300" s="737">
        <f>'Аксессуары (2)'!B300*1.3*($K$2/100+1)</f>
        <v>307.903167</v>
      </c>
      <c r="C300" s="737">
        <f>'Аксессуары (2)'!C300*1.3*($K$2/100+1)</f>
        <v>342.11463000000003</v>
      </c>
      <c r="D300" s="737">
        <f>'Аксессуары (2)'!D300*1.3*($K$2/100+1)</f>
        <v>376.32609300000007</v>
      </c>
      <c r="E300" s="737">
        <f>'Аксессуары (2)'!E300*1.6*($K$2/100+1)</f>
        <v>505.27699199999995</v>
      </c>
      <c r="F300" s="737">
        <f>'Аксессуары (2)'!F300*1.6*($K$2/100+1)</f>
        <v>555.80469120000009</v>
      </c>
      <c r="G300" s="737">
        <f>'Аксессуары (2)'!G300*1.6*($K$2/100+1)</f>
        <v>606.33239040000001</v>
      </c>
      <c r="H300" s="738">
        <f>'Аксессуары (2)'!H300*1.8*($K$2/100+1)</f>
        <v>947.39436000000001</v>
      </c>
      <c r="I300" s="738">
        <f>'Аксессуары (2)'!J300*1.5*($K$2/100+1)</f>
        <v>1184.2429499999998</v>
      </c>
      <c r="J300" s="739">
        <f>'Аксессуары (2)'!J300*1.8*($K$2/100+1)</f>
        <v>1421.0915399999999</v>
      </c>
    </row>
    <row r="301" spans="1:10" ht="14.95" customHeight="1">
      <c r="A301" s="414" t="s">
        <v>3250</v>
      </c>
      <c r="B301" s="737">
        <f>'Аксессуары (2)'!B301*1.3*($K$2/100+1)</f>
        <v>346.02475049999998</v>
      </c>
      <c r="C301" s="737">
        <f>'Аксессуары (2)'!C301*1.3*($K$2/100+1)</f>
        <v>384.47194499999995</v>
      </c>
      <c r="D301" s="737">
        <f>'Аксессуары (2)'!D301*1.3*($K$2/100+1)</f>
        <v>422.91913950000003</v>
      </c>
      <c r="E301" s="737">
        <f>'Аксессуары (2)'!E301*1.6*($K$2/100+1)</f>
        <v>567.83548799999994</v>
      </c>
      <c r="F301" s="737">
        <f>'Аксессуары (2)'!F301*1.6*($K$2/100+1)</f>
        <v>624.6190368</v>
      </c>
      <c r="G301" s="737">
        <f>'Аксессуары (2)'!G301*1.6*($K$2/100+1)</f>
        <v>681.40258559999995</v>
      </c>
      <c r="H301" s="738">
        <f>'Аксессуары (2)'!H301*1.8*($K$2/100+1)</f>
        <v>1064.69154</v>
      </c>
      <c r="I301" s="738">
        <f>'Аксессуары (2)'!J301*1.5*($K$2/100+1)</f>
        <v>1330.8644249999998</v>
      </c>
      <c r="J301" s="739">
        <f>'Аксессуары (2)'!J301*1.8*($K$2/100+1)</f>
        <v>1597.0373099999999</v>
      </c>
    </row>
    <row r="302" spans="1:10" ht="14.95" customHeight="1">
      <c r="A302" s="414" t="s">
        <v>3251</v>
      </c>
      <c r="B302" s="737">
        <f>'Аксессуары (2)'!B302*1.3*($K$2/100+1)</f>
        <v>286.99778249999997</v>
      </c>
      <c r="C302" s="737">
        <f>'Аксессуары (2)'!C302*1.3*($K$2/100+1)</f>
        <v>318.88642499999997</v>
      </c>
      <c r="D302" s="737">
        <f>'Аксессуары (2)'!D302*1.3*($K$2/100+1)</f>
        <v>350.77506749999998</v>
      </c>
      <c r="E302" s="737">
        <f>'Аксессуары (2)'!E302*1.6*($K$2/100+1)</f>
        <v>470.97071999999997</v>
      </c>
      <c r="F302" s="737">
        <f>'Аксессуары (2)'!F302*1.6*($K$2/100+1)</f>
        <v>518.06779199999994</v>
      </c>
      <c r="G302" s="737">
        <f>'Аксессуары (2)'!G302*1.6*($K$2/100+1)</f>
        <v>565.16486399999997</v>
      </c>
      <c r="H302" s="738">
        <f>'Аксессуары (2)'!H302*1.8*($K$2/100+1)</f>
        <v>883.07009999999991</v>
      </c>
      <c r="I302" s="738">
        <f>'Аксессуары (2)'!J302*1.5*($K$2/100+1)</f>
        <v>1103.8376250000001</v>
      </c>
      <c r="J302" s="739">
        <f>'Аксессуары (2)'!J302*1.8*($K$2/100+1)</f>
        <v>1324.6051500000001</v>
      </c>
    </row>
    <row r="303" spans="1:10" ht="14.95" customHeight="1">
      <c r="A303" s="414" t="s">
        <v>3252</v>
      </c>
      <c r="B303" s="737">
        <f>'Аксессуары (2)'!B303*1.3*($K$2/100+1)</f>
        <v>289.63291500000003</v>
      </c>
      <c r="C303" s="737">
        <f>'Аксессуары (2)'!C303*1.3*($K$2/100+1)</f>
        <v>321.81434999999999</v>
      </c>
      <c r="D303" s="737">
        <f>'Аксессуары (2)'!D303*1.3*($K$2/100+1)</f>
        <v>353.99578500000001</v>
      </c>
      <c r="E303" s="737">
        <f>'Аксессуары (2)'!E303*1.6*($K$2/100+1)</f>
        <v>475.29504000000003</v>
      </c>
      <c r="F303" s="737">
        <f>'Аксессуары (2)'!F303*1.6*($K$2/100+1)</f>
        <v>522.82454400000006</v>
      </c>
      <c r="G303" s="737">
        <f>'Аксессуары (2)'!G303*1.6*($K$2/100+1)</f>
        <v>570.35404800000003</v>
      </c>
      <c r="H303" s="738">
        <f>'Аксессуары (2)'!H303*1.8*($K$2/100+1)</f>
        <v>891.17820000000006</v>
      </c>
      <c r="I303" s="738">
        <f>'Аксессуары (2)'!J303*1.5*($K$2/100+1)</f>
        <v>1113.9727499999999</v>
      </c>
      <c r="J303" s="739">
        <f>'Аксессуары (2)'!J303*1.8*($K$2/100+1)</f>
        <v>1336.7673</v>
      </c>
    </row>
    <row r="304" spans="1:10" ht="14.95" customHeight="1">
      <c r="A304" s="414" t="s">
        <v>3253</v>
      </c>
      <c r="B304" s="737">
        <f>'Аксессуары (2)'!B304*1.3*($K$2/100+1)</f>
        <v>298.41668999999996</v>
      </c>
      <c r="C304" s="737">
        <f>'Аксессуары (2)'!C304*1.3*($K$2/100+1)</f>
        <v>331.57409999999993</v>
      </c>
      <c r="D304" s="737">
        <f>'Аксессуары (2)'!D304*1.3*($K$2/100+1)</f>
        <v>364.73150999999996</v>
      </c>
      <c r="E304" s="737">
        <f>'Аксессуары (2)'!E304*1.6*($K$2/100+1)</f>
        <v>489.70943999999992</v>
      </c>
      <c r="F304" s="737">
        <f>'Аксессуары (2)'!F304*1.6*($K$2/100+1)</f>
        <v>538.680384</v>
      </c>
      <c r="G304" s="737">
        <f>'Аксессуары (2)'!G304*1.6*($K$2/100+1)</f>
        <v>587.65132799999992</v>
      </c>
      <c r="H304" s="738">
        <f>'Аксессуары (2)'!H304*1.8*($K$2/100+1)</f>
        <v>918.20519999999988</v>
      </c>
      <c r="I304" s="738">
        <f>'Аксессуары (2)'!J304*1.5*($K$2/100+1)</f>
        <v>1147.7564999999997</v>
      </c>
      <c r="J304" s="739">
        <f>'Аксессуары (2)'!J304*1.8*($K$2/100+1)</f>
        <v>1377.3077999999998</v>
      </c>
    </row>
    <row r="305" spans="1:10" ht="14.95" customHeight="1">
      <c r="A305" s="414" t="s">
        <v>3254</v>
      </c>
      <c r="B305" s="737">
        <f>'Аксессуары (2)'!B305*1.3*($K$2/100+1)</f>
        <v>305.09235900000004</v>
      </c>
      <c r="C305" s="737">
        <f>'Аксессуары (2)'!C305*1.3*($K$2/100+1)</f>
        <v>338.99151000000001</v>
      </c>
      <c r="D305" s="737">
        <f>'Аксессуары (2)'!D305*1.3*($K$2/100+1)</f>
        <v>372.89066100000008</v>
      </c>
      <c r="E305" s="737">
        <f>'Аксессуары (2)'!E305*1.6*($K$2/100+1)</f>
        <v>500.66438400000004</v>
      </c>
      <c r="F305" s="737">
        <f>'Аксессуары (2)'!F305*1.6*($K$2/100+1)</f>
        <v>550.73082240000019</v>
      </c>
      <c r="G305" s="737">
        <f>'Аксессуары (2)'!G305*1.6*($K$2/100+1)</f>
        <v>600.7972608</v>
      </c>
      <c r="H305" s="738">
        <f>'Аксессуары (2)'!H305*1.8*($K$2/100+1)</f>
        <v>938.74572000000001</v>
      </c>
      <c r="I305" s="738">
        <f>'Аксессуары (2)'!J305*1.5*($K$2/100+1)</f>
        <v>1173.4321500000001</v>
      </c>
      <c r="J305" s="739">
        <f>'Аксессуары (2)'!J305*1.8*($K$2/100+1)</f>
        <v>1408.1185800000001</v>
      </c>
    </row>
    <row r="306" spans="1:10" ht="14.95" customHeight="1">
      <c r="A306" s="414" t="s">
        <v>3255</v>
      </c>
      <c r="B306" s="737">
        <f>'Аксессуары (2)'!B306*1.3*($K$2/100+1)</f>
        <v>318.79504800000001</v>
      </c>
      <c r="C306" s="737">
        <f>'Аксессуары (2)'!C306*1.3*($K$2/100+1)</f>
        <v>354.21672000000001</v>
      </c>
      <c r="D306" s="737">
        <f>'Аксессуары (2)'!D306*1.3*($K$2/100+1)</f>
        <v>389.63839200000007</v>
      </c>
      <c r="E306" s="737">
        <f>'Аксессуары (2)'!E306*1.6*($K$2/100+1)</f>
        <v>523.150848</v>
      </c>
      <c r="F306" s="737">
        <f>'Аксессуары (2)'!F306*1.6*($K$2/100+1)</f>
        <v>575.46593280000002</v>
      </c>
      <c r="G306" s="737">
        <f>'Аксессуары (2)'!G306*1.6*($K$2/100+1)</f>
        <v>627.78101759999993</v>
      </c>
      <c r="H306" s="738">
        <f>'Аксессуары (2)'!H306*1.8*($K$2/100+1)</f>
        <v>980.90783999999996</v>
      </c>
      <c r="I306" s="738">
        <f>'Аксессуары (2)'!J306*1.5*($K$2/100+1)</f>
        <v>1226.1348</v>
      </c>
      <c r="J306" s="739">
        <f>'Аксессуары (2)'!J306*1.8*($K$2/100+1)</f>
        <v>1471.36176</v>
      </c>
    </row>
    <row r="307" spans="1:10" ht="14.95" customHeight="1">
      <c r="A307" s="414" t="s">
        <v>3256</v>
      </c>
      <c r="B307" s="737">
        <f>'Аксессуары (2)'!B307*1.3*($K$2/100+1)</f>
        <v>323.01125999999999</v>
      </c>
      <c r="C307" s="737">
        <f>'Аксессуары (2)'!C307*1.3*($K$2/100+1)</f>
        <v>358.90139999999997</v>
      </c>
      <c r="D307" s="737">
        <f>'Аксессуары (2)'!D307*1.3*($K$2/100+1)</f>
        <v>394.79154000000005</v>
      </c>
      <c r="E307" s="737">
        <f>'Аксессуары (2)'!E307*1.6*($K$2/100+1)</f>
        <v>530.06975999999997</v>
      </c>
      <c r="F307" s="737">
        <f>'Аксессуары (2)'!F307*1.6*($K$2/100+1)</f>
        <v>583.0767360000001</v>
      </c>
      <c r="G307" s="737">
        <f>'Аксессуары (2)'!G307*1.6*($K$2/100+1)</f>
        <v>636.08371199999988</v>
      </c>
      <c r="H307" s="738">
        <f>'Аксессуары (2)'!H307*1.8*($K$2/100+1)</f>
        <v>993.88079999999991</v>
      </c>
      <c r="I307" s="738">
        <f>'Аксессуары (2)'!J307*1.5*($K$2/100+1)</f>
        <v>1242.3509999999999</v>
      </c>
      <c r="J307" s="739">
        <f>'Аксессуары (2)'!J307*1.8*($K$2/100+1)</f>
        <v>1490.8211999999999</v>
      </c>
    </row>
    <row r="308" spans="1:10" ht="14.95" customHeight="1">
      <c r="A308" s="414" t="s">
        <v>3257</v>
      </c>
      <c r="B308" s="737">
        <f>'Аксессуары (2)'!B308*1.3*($K$2/100+1)</f>
        <v>405.22739399999995</v>
      </c>
      <c r="C308" s="737">
        <f>'Аксессуары (2)'!C308*1.3*($K$2/100+1)</f>
        <v>450.25265999999999</v>
      </c>
      <c r="D308" s="737">
        <f>'Аксессуары (2)'!D308*1.3*($K$2/100+1)</f>
        <v>495.27792599999992</v>
      </c>
      <c r="E308" s="737">
        <f>'Аксессуары (2)'!E308*1.6*($K$2/100+1)</f>
        <v>664.98854399999993</v>
      </c>
      <c r="F308" s="737">
        <f>'Аксессуары (2)'!F308*1.6*($K$2/100+1)</f>
        <v>731.48739839999996</v>
      </c>
      <c r="G308" s="737">
        <f>'Аксессуары (2)'!G308*1.6*($K$2/100+1)</f>
        <v>797.98625279999976</v>
      </c>
      <c r="H308" s="738">
        <f>'Аксессуары (2)'!H308*1.8*($K$2/100+1)</f>
        <v>1246.8535199999999</v>
      </c>
      <c r="I308" s="738">
        <f>'Аксессуары (2)'!J308*1.5*($K$2/100+1)</f>
        <v>1558.5668999999998</v>
      </c>
      <c r="J308" s="739">
        <f>'Аксессуары (2)'!J308*1.8*($K$2/100+1)</f>
        <v>1870.2802799999997</v>
      </c>
    </row>
    <row r="309" spans="1:10" ht="14.95" customHeight="1">
      <c r="A309" s="414" t="s">
        <v>3258</v>
      </c>
      <c r="B309" s="737">
        <f>'Аксессуары (2)'!B309*1.3*($K$2/100+1)</f>
        <v>315.98424</v>
      </c>
      <c r="C309" s="737">
        <f>'Аксессуары (2)'!C309*1.3*($K$2/100+1)</f>
        <v>351.09360000000004</v>
      </c>
      <c r="D309" s="737">
        <f>'Аксессуары (2)'!D309*1.3*($K$2/100+1)</f>
        <v>386.20296000000008</v>
      </c>
      <c r="E309" s="737">
        <f>'Аксессуары (2)'!E309*1.6*($K$2/100+1)</f>
        <v>518.53823999999997</v>
      </c>
      <c r="F309" s="737">
        <f>'Аксессуары (2)'!F309*1.6*($K$2/100+1)</f>
        <v>570.39206400000012</v>
      </c>
      <c r="G309" s="737">
        <f>'Аксессуары (2)'!G309*1.6*($K$2/100+1)</f>
        <v>622.24588799999992</v>
      </c>
      <c r="H309" s="738">
        <f>'Аксессуары (2)'!H309*1.8*($K$2/100+1)</f>
        <v>972.25920000000008</v>
      </c>
      <c r="I309" s="738">
        <f>'Аксессуары (2)'!J309*1.5*($K$2/100+1)</f>
        <v>1215.3240000000001</v>
      </c>
      <c r="J309" s="739">
        <f>'Аксессуары (2)'!J309*1.8*($K$2/100+1)</f>
        <v>1458.3887999999999</v>
      </c>
    </row>
    <row r="310" spans="1:10" ht="14.95" customHeight="1">
      <c r="A310" s="414" t="s">
        <v>3259</v>
      </c>
      <c r="B310" s="737">
        <f>'Аксессуары (2)'!B310*1.3*($K$2/100+1)</f>
        <v>319.49775</v>
      </c>
      <c r="C310" s="737">
        <f>'Аксессуары (2)'!C310*1.3*($K$2/100+1)</f>
        <v>354.9975</v>
      </c>
      <c r="D310" s="737">
        <f>'Аксессуары (2)'!D310*1.3*($K$2/100+1)</f>
        <v>390.49725000000001</v>
      </c>
      <c r="E310" s="737">
        <f>'Аксессуары (2)'!E310*1.6*($K$2/100+1)</f>
        <v>524.30399999999997</v>
      </c>
      <c r="F310" s="737">
        <f>'Аксессуары (2)'!F310*1.6*($K$2/100+1)</f>
        <v>576.73440000000005</v>
      </c>
      <c r="G310" s="737">
        <f>'Аксессуары (2)'!G310*1.6*($K$2/100+1)</f>
        <v>629.16480000000001</v>
      </c>
      <c r="H310" s="738">
        <f>'Аксессуары (2)'!H310*1.8*($K$2/100+1)</f>
        <v>983.07</v>
      </c>
      <c r="I310" s="738">
        <f>'Аксессуары (2)'!J310*1.5*($K$2/100+1)</f>
        <v>1228.8374999999999</v>
      </c>
      <c r="J310" s="739">
        <f>'Аксессуары (2)'!J310*1.8*($K$2/100+1)</f>
        <v>1474.605</v>
      </c>
    </row>
    <row r="311" spans="1:10" ht="14.95" customHeight="1">
      <c r="A311" s="414" t="s">
        <v>3260</v>
      </c>
      <c r="B311" s="737">
        <f>'Аксессуары (2)'!B311*1.3*($K$2/100+1)</f>
        <v>354.63284999999996</v>
      </c>
      <c r="C311" s="737">
        <f>'Аксессуары (2)'!C311*1.3*($K$2/100+1)</f>
        <v>394.03649999999999</v>
      </c>
      <c r="D311" s="737">
        <f>'Аксессуары (2)'!D311*1.3*($K$2/100+1)</f>
        <v>433.44014999999996</v>
      </c>
      <c r="E311" s="737">
        <f>'Аксессуары (2)'!E311*1.6*($K$2/100+1)</f>
        <v>581.96159999999986</v>
      </c>
      <c r="F311" s="737">
        <f>'Аксессуары (2)'!F311*1.6*($K$2/100+1)</f>
        <v>640.15775999999994</v>
      </c>
      <c r="G311" s="737">
        <f>'Аксессуары (2)'!G311*1.6*($K$2/100+1)</f>
        <v>698.3539199999999</v>
      </c>
      <c r="H311" s="738">
        <f>'Аксессуары (2)'!H311*1.8*($K$2/100+1)</f>
        <v>1091.1779999999999</v>
      </c>
      <c r="I311" s="738">
        <f>'Аксессуары (2)'!J311*1.5*($K$2/100+1)</f>
        <v>1363.9724999999996</v>
      </c>
      <c r="J311" s="739">
        <f>'Аксессуары (2)'!J311*1.8*($K$2/100+1)</f>
        <v>1636.7669999999998</v>
      </c>
    </row>
    <row r="312" spans="1:10" ht="14.95" customHeight="1">
      <c r="A312" s="414" t="s">
        <v>3261</v>
      </c>
      <c r="B312" s="737">
        <f>'Аксессуары (2)'!B312*1.3*($K$2/100+1)</f>
        <v>389.76794999999993</v>
      </c>
      <c r="C312" s="737">
        <f>'Аксессуары (2)'!C312*1.3*($K$2/100+1)</f>
        <v>433.07549999999992</v>
      </c>
      <c r="D312" s="737">
        <f>'Аксессуары (2)'!D312*1.3*($K$2/100+1)</f>
        <v>476.38305000000003</v>
      </c>
      <c r="E312" s="737">
        <f>'Аксессуары (2)'!E312*1.6*($K$2/100+1)</f>
        <v>639.61919999999986</v>
      </c>
      <c r="F312" s="737">
        <f>'Аксессуары (2)'!F312*1.6*($K$2/100+1)</f>
        <v>703.58111999999994</v>
      </c>
      <c r="G312" s="737">
        <f>'Аксессуары (2)'!G312*1.6*($K$2/100+1)</f>
        <v>767.54303999999979</v>
      </c>
      <c r="H312" s="738">
        <f>'Аксессуары (2)'!H312*1.8*($K$2/100+1)</f>
        <v>1199.2859999999998</v>
      </c>
      <c r="I312" s="738">
        <f>'Аксессуары (2)'!J312*1.5*($K$2/100+1)</f>
        <v>1499.1074999999998</v>
      </c>
      <c r="J312" s="739">
        <f>'Аксессуары (2)'!J312*1.8*($K$2/100+1)</f>
        <v>1798.9289999999999</v>
      </c>
    </row>
    <row r="313" spans="1:10" ht="14.95" customHeight="1">
      <c r="A313" s="414" t="s">
        <v>3262</v>
      </c>
      <c r="B313" s="737">
        <f>'Аксессуары (2)'!B313*1.3*($K$2/100+1)</f>
        <v>407.33549999999997</v>
      </c>
      <c r="C313" s="737">
        <f>'Аксессуары (2)'!C313*1.3*($K$2/100+1)</f>
        <v>452.59499999999997</v>
      </c>
      <c r="D313" s="737">
        <f>'Аксессуары (2)'!D313*1.3*($K$2/100+1)</f>
        <v>497.85450000000003</v>
      </c>
      <c r="E313" s="737">
        <f>'Аксессуары (2)'!E313*1.6*($K$2/100+1)</f>
        <v>668.44799999999998</v>
      </c>
      <c r="F313" s="737">
        <f>'Аксессуары (2)'!F313*1.6*($K$2/100+1)</f>
        <v>735.29280000000006</v>
      </c>
      <c r="G313" s="737">
        <f>'Аксессуары (2)'!G313*1.6*($K$2/100+1)</f>
        <v>802.13760000000002</v>
      </c>
      <c r="H313" s="738">
        <f>'Аксессуары (2)'!H313*1.8*($K$2/100+1)</f>
        <v>1253.3399999999999</v>
      </c>
      <c r="I313" s="738">
        <f>'Аксессуары (2)'!J313*1.5*($K$2/100+1)</f>
        <v>1566.675</v>
      </c>
      <c r="J313" s="739">
        <f>'Аксессуары (2)'!J313*1.8*($K$2/100+1)</f>
        <v>1880.01</v>
      </c>
    </row>
    <row r="314" spans="1:10" ht="14.95" customHeight="1">
      <c r="A314" s="414" t="s">
        <v>3263</v>
      </c>
      <c r="B314" s="737">
        <f>'Аксессуары (2)'!B314*1.3*($K$2/100+1)</f>
        <v>317.740995</v>
      </c>
      <c r="C314" s="737">
        <f>'Аксессуары (2)'!C314*1.3*($K$2/100+1)</f>
        <v>353.04554999999999</v>
      </c>
      <c r="D314" s="737">
        <f>'Аксессуары (2)'!D314*1.3*($K$2/100+1)</f>
        <v>388.35010500000004</v>
      </c>
      <c r="E314" s="737">
        <f>'Аксессуары (2)'!E314*1.6*($K$2/100+1)</f>
        <v>521.42111999999997</v>
      </c>
      <c r="F314" s="737">
        <f>'Аксессуары (2)'!F314*1.6*($K$2/100+1)</f>
        <v>573.56323200000008</v>
      </c>
      <c r="G314" s="737">
        <f>'Аксессуары (2)'!G314*1.6*($K$2/100+1)</f>
        <v>625.70534399999997</v>
      </c>
      <c r="H314" s="738">
        <f>'Аксессуары (2)'!H314*1.8*($K$2/100+1)</f>
        <v>977.66459999999995</v>
      </c>
      <c r="I314" s="738">
        <f>'Аксессуары (2)'!J314*1.5*($K$2/100+1)</f>
        <v>1222.0807499999999</v>
      </c>
      <c r="J314" s="739">
        <f>'Аксессуары (2)'!J314*1.8*($K$2/100+1)</f>
        <v>1466.4968999999999</v>
      </c>
    </row>
    <row r="315" spans="1:10" ht="14.95" customHeight="1">
      <c r="A315" s="414" t="s">
        <v>3264</v>
      </c>
      <c r="B315" s="737">
        <f>'Аксессуары (2)'!B315*1.3*($K$2/100+1)</f>
        <v>319.49775</v>
      </c>
      <c r="C315" s="737">
        <f>'Аксессуары (2)'!C315*1.3*($K$2/100+1)</f>
        <v>354.9975</v>
      </c>
      <c r="D315" s="737">
        <f>'Аксессуары (2)'!D315*1.3*($K$2/100+1)</f>
        <v>390.49725000000001</v>
      </c>
      <c r="E315" s="737">
        <f>'Аксессуары (2)'!E315*1.6*($K$2/100+1)</f>
        <v>524.30399999999997</v>
      </c>
      <c r="F315" s="737">
        <f>'Аксессуары (2)'!F315*1.6*($K$2/100+1)</f>
        <v>576.73440000000005</v>
      </c>
      <c r="G315" s="737">
        <f>'Аксессуары (2)'!G315*1.6*($K$2/100+1)</f>
        <v>629.16480000000001</v>
      </c>
      <c r="H315" s="738">
        <f>'Аксессуары (2)'!H315*1.8*($K$2/100+1)</f>
        <v>983.07</v>
      </c>
      <c r="I315" s="738">
        <f>'Аксессуары (2)'!J315*1.5*($K$2/100+1)</f>
        <v>1228.8374999999999</v>
      </c>
      <c r="J315" s="739">
        <f>'Аксессуары (2)'!J315*1.8*($K$2/100+1)</f>
        <v>1474.605</v>
      </c>
    </row>
    <row r="316" spans="1:10" ht="14.95" customHeight="1">
      <c r="A316" s="414" t="s">
        <v>3265</v>
      </c>
      <c r="B316" s="737">
        <f>'Аксессуары (2)'!B316*1.3*($K$2/100+1)</f>
        <v>321.25450499999999</v>
      </c>
      <c r="C316" s="737">
        <f>'Аксессуары (2)'!C316*1.3*($K$2/100+1)</f>
        <v>356.94944999999996</v>
      </c>
      <c r="D316" s="737">
        <f>'Аксессуары (2)'!D316*1.3*($K$2/100+1)</f>
        <v>392.64439500000003</v>
      </c>
      <c r="E316" s="737">
        <f>'Аксессуары (2)'!E316*1.6*($K$2/100+1)</f>
        <v>527.18687999999997</v>
      </c>
      <c r="F316" s="737">
        <f>'Аксессуары (2)'!F316*1.6*($K$2/100+1)</f>
        <v>579.90556800000002</v>
      </c>
      <c r="G316" s="737">
        <f>'Аксессуары (2)'!G316*1.6*($K$2/100+1)</f>
        <v>632.62425599999983</v>
      </c>
      <c r="H316" s="738">
        <f>'Аксессуары (2)'!H316*1.8*($K$2/100+1)</f>
        <v>988.47540000000004</v>
      </c>
      <c r="I316" s="738">
        <f>'Аксессуары (2)'!J316*1.5*($K$2/100+1)</f>
        <v>1235.5942499999999</v>
      </c>
      <c r="J316" s="739">
        <f>'Аксессуары (2)'!J316*1.8*($K$2/100+1)</f>
        <v>1482.7130999999999</v>
      </c>
    </row>
    <row r="317" spans="1:10" ht="14.95" customHeight="1">
      <c r="A317" s="414" t="s">
        <v>3266</v>
      </c>
      <c r="B317" s="737">
        <f>'Аксессуары (2)'!B317*1.3*($K$2/100+1)</f>
        <v>325.29504149999997</v>
      </c>
      <c r="C317" s="737">
        <f>'Аксессуары (2)'!C317*1.3*($K$2/100+1)</f>
        <v>361.43893499999996</v>
      </c>
      <c r="D317" s="737">
        <f>'Аксессуары (2)'!D317*1.3*($K$2/100+1)</f>
        <v>397.58282849999995</v>
      </c>
      <c r="E317" s="737">
        <f>'Аксессуары (2)'!E317*1.6*($K$2/100+1)</f>
        <v>533.81750399999999</v>
      </c>
      <c r="F317" s="737">
        <f>'Аксессуары (2)'!F317*1.6*($K$2/100+1)</f>
        <v>587.19925439999997</v>
      </c>
      <c r="G317" s="737">
        <f>'Аксессуары (2)'!G317*1.6*($K$2/100+1)</f>
        <v>640.58100479999985</v>
      </c>
      <c r="H317" s="738">
        <f>'Аксессуары (2)'!H317*1.8*($K$2/100+1)</f>
        <v>1000.9078199999998</v>
      </c>
      <c r="I317" s="738">
        <f>'Аксессуары (2)'!J317*1.5*($K$2/100+1)</f>
        <v>1251.1347749999998</v>
      </c>
      <c r="J317" s="739">
        <f>'Аксессуары (2)'!J317*1.8*($K$2/100+1)</f>
        <v>1501.3617299999996</v>
      </c>
    </row>
    <row r="318" spans="1:10" ht="14.95" customHeight="1">
      <c r="A318" s="414" t="s">
        <v>3267</v>
      </c>
      <c r="B318" s="737">
        <f>'Аксессуары (2)'!B318*1.3*($K$2/100+1)</f>
        <v>340.40313450000002</v>
      </c>
      <c r="C318" s="737">
        <f>'Аксессуары (2)'!C318*1.3*($K$2/100+1)</f>
        <v>378.225705</v>
      </c>
      <c r="D318" s="737">
        <f>'Аксессуары (2)'!D318*1.3*($K$2/100+1)</f>
        <v>416.04827550000005</v>
      </c>
      <c r="E318" s="737">
        <f>'Аксессуары (2)'!E318*1.6*($K$2/100+1)</f>
        <v>558.61027200000001</v>
      </c>
      <c r="F318" s="737">
        <f>'Аксессуары (2)'!F318*1.6*($K$2/100+1)</f>
        <v>614.47129919999998</v>
      </c>
      <c r="G318" s="737">
        <f>'Аксессуары (2)'!G318*1.6*($K$2/100+1)</f>
        <v>670.33232639999994</v>
      </c>
      <c r="H318" s="738">
        <f>'Аксессуары (2)'!H318*1.8*($K$2/100+1)</f>
        <v>1047.39426</v>
      </c>
      <c r="I318" s="738">
        <f>'Аксессуары (2)'!J318*1.5*($K$2/100+1)</f>
        <v>1309.242825</v>
      </c>
      <c r="J318" s="739">
        <f>'Аксессуары (2)'!J318*1.8*($K$2/100+1)</f>
        <v>1571.09139</v>
      </c>
    </row>
    <row r="319" spans="1:10" ht="14.95" customHeight="1">
      <c r="A319" s="414" t="s">
        <v>3268</v>
      </c>
      <c r="B319" s="737">
        <f>'Аксессуары (2)'!B319*1.3*($K$2/100+1)</f>
        <v>383.61930749999999</v>
      </c>
      <c r="C319" s="737">
        <f>'Аксессуары (2)'!C319*1.3*($K$2/100+1)</f>
        <v>426.243675</v>
      </c>
      <c r="D319" s="737">
        <f>'Аксессуары (2)'!D319*1.3*($K$2/100+1)</f>
        <v>468.86804250000006</v>
      </c>
      <c r="E319" s="737">
        <f>'Аксессуары (2)'!E319*1.6*($K$2/100+1)</f>
        <v>629.52912000000003</v>
      </c>
      <c r="F319" s="737">
        <f>'Аксессуары (2)'!F319*1.6*($K$2/100+1)</f>
        <v>692.48203200000012</v>
      </c>
      <c r="G319" s="737">
        <f>'Аксессуары (2)'!G319*1.6*($K$2/100+1)</f>
        <v>755.43494399999986</v>
      </c>
      <c r="H319" s="738">
        <f>'Аксессуары (2)'!H319*1.8*($K$2/100+1)</f>
        <v>1180.3670999999999</v>
      </c>
      <c r="I319" s="738">
        <f>'Аксессуары (2)'!J319*1.5*($K$2/100+1)</f>
        <v>1475.4588749999998</v>
      </c>
      <c r="J319" s="739">
        <f>'Аксессуары (2)'!J319*1.8*($K$2/100+1)</f>
        <v>1770.5506499999997</v>
      </c>
    </row>
    <row r="320" spans="1:10" ht="14.95" customHeight="1">
      <c r="A320" s="414" t="s">
        <v>3269</v>
      </c>
      <c r="B320" s="737">
        <f>'Аксессуары (2)'!B320*1.3*($K$2/100+1)</f>
        <v>418.75440750000001</v>
      </c>
      <c r="C320" s="737">
        <f>'Аксессуары (2)'!C320*1.3*($K$2/100+1)</f>
        <v>465.28267499999998</v>
      </c>
      <c r="D320" s="737">
        <f>'Аксессуары (2)'!D320*1.3*($K$2/100+1)</f>
        <v>511.81094250000007</v>
      </c>
      <c r="E320" s="737">
        <f>'Аксессуары (2)'!E320*1.6*($K$2/100+1)</f>
        <v>687.18672000000004</v>
      </c>
      <c r="F320" s="737">
        <f>'Аксессуары (2)'!F320*1.6*($K$2/100+1)</f>
        <v>755.90539200000001</v>
      </c>
      <c r="G320" s="737">
        <f>'Аксессуары (2)'!G320*1.6*($K$2/100+1)</f>
        <v>824.62406399999998</v>
      </c>
      <c r="H320" s="738">
        <f>'Аксессуары (2)'!H320*1.8*($K$2/100+1)</f>
        <v>1288.4750999999999</v>
      </c>
      <c r="I320" s="738">
        <f>'Аксессуары (2)'!J320*1.5*($K$2/100+1)</f>
        <v>1610.593875</v>
      </c>
      <c r="J320" s="739">
        <f>'Аксессуары (2)'!J320*1.8*($K$2/100+1)</f>
        <v>1932.7126500000002</v>
      </c>
    </row>
    <row r="321" spans="1:10" ht="14.95" customHeight="1">
      <c r="A321" s="414" t="s">
        <v>3270</v>
      </c>
      <c r="B321" s="737">
        <f>'Аксессуары (2)'!B321*1.3*($K$2/100+1)</f>
        <v>323.71396200000004</v>
      </c>
      <c r="C321" s="737">
        <f>'Аксессуары (2)'!C321*1.3*($K$2/100+1)</f>
        <v>359.68218000000002</v>
      </c>
      <c r="D321" s="737">
        <f>'Аксессуары (2)'!D321*1.3*($K$2/100+1)</f>
        <v>395.650398</v>
      </c>
      <c r="E321" s="737">
        <f>'Аксессуары (2)'!E321*1.6*($K$2/100+1)</f>
        <v>531.22291199999995</v>
      </c>
      <c r="F321" s="737">
        <f>'Аксессуары (2)'!F321*1.6*($K$2/100+1)</f>
        <v>584.34520320000001</v>
      </c>
      <c r="G321" s="737">
        <f>'Аксессуары (2)'!G321*1.6*($K$2/100+1)</f>
        <v>637.46749439999996</v>
      </c>
      <c r="H321" s="738">
        <f>'Аксессуары (2)'!H321*1.8*($K$2/100+1)</f>
        <v>996.04295999999999</v>
      </c>
      <c r="I321" s="738">
        <f>'Аксессуары (2)'!J321*1.5*($K$2/100+1)</f>
        <v>1245.0536999999999</v>
      </c>
      <c r="J321" s="739">
        <f>'Аксессуары (2)'!J321*1.8*($K$2/100+1)</f>
        <v>1494.0644399999999</v>
      </c>
    </row>
    <row r="322" spans="1:10" ht="14.95" customHeight="1">
      <c r="A322" s="414" t="s">
        <v>3271</v>
      </c>
      <c r="B322" s="737">
        <f>'Аксессуары (2)'!B322*1.3*($K$2/100+1)</f>
        <v>341.28151200000002</v>
      </c>
      <c r="C322" s="737">
        <f>'Аксессуары (2)'!C322*1.3*($K$2/100+1)</f>
        <v>379.20167999999995</v>
      </c>
      <c r="D322" s="737">
        <f>'Аксессуары (2)'!D322*1.3*($K$2/100+1)</f>
        <v>417.121848</v>
      </c>
      <c r="E322" s="737">
        <f>'Аксессуары (2)'!E322*1.6*($K$2/100+1)</f>
        <v>560.05171199999995</v>
      </c>
      <c r="F322" s="737">
        <f>'Аксессуары (2)'!F322*1.6*($K$2/100+1)</f>
        <v>616.0568831999999</v>
      </c>
      <c r="G322" s="737">
        <f>'Аксессуары (2)'!G322*1.6*($K$2/100+1)</f>
        <v>672.06205439999997</v>
      </c>
      <c r="H322" s="738">
        <f>'Аксессуары (2)'!H322*1.8*($K$2/100+1)</f>
        <v>1050.0969600000001</v>
      </c>
      <c r="I322" s="738">
        <f>'Аксессуары (2)'!J322*1.5*($K$2/100+1)</f>
        <v>1312.6212</v>
      </c>
      <c r="J322" s="739">
        <f>'Аксессуары (2)'!J322*1.8*($K$2/100+1)</f>
        <v>1575.14544</v>
      </c>
    </row>
    <row r="323" spans="1:10" ht="14.95" customHeight="1">
      <c r="A323" s="414" t="s">
        <v>3272</v>
      </c>
      <c r="B323" s="737">
        <f>'Аксессуары (2)'!B323*1.3*($K$2/100+1)</f>
        <v>333.20043900000002</v>
      </c>
      <c r="C323" s="737">
        <f>'Аксессуары (2)'!C323*1.3*($K$2/100+1)</f>
        <v>370.22271000000001</v>
      </c>
      <c r="D323" s="737">
        <f>'Аксессуары (2)'!D323*1.3*($K$2/100+1)</f>
        <v>407.24498100000005</v>
      </c>
      <c r="E323" s="737">
        <f>'Аксессуары (2)'!E323*1.6*($K$2/100+1)</f>
        <v>546.79046400000004</v>
      </c>
      <c r="F323" s="737">
        <f>'Аксессуары (2)'!F323*1.6*($K$2/100+1)</f>
        <v>601.4695104000001</v>
      </c>
      <c r="G323" s="737">
        <f>'Аксессуары (2)'!G323*1.6*($K$2/100+1)</f>
        <v>656.14855679999994</v>
      </c>
      <c r="H323" s="738">
        <f>'Аксессуары (2)'!H323*1.8*($K$2/100+1)</f>
        <v>1025.2321200000001</v>
      </c>
      <c r="I323" s="738">
        <f>'Аксессуары (2)'!J323*1.5*($K$2/100+1)</f>
        <v>1281.5401500000003</v>
      </c>
      <c r="J323" s="739">
        <f>'Аксессуары (2)'!J323*1.8*($K$2/100+1)</f>
        <v>1537.8481800000002</v>
      </c>
    </row>
    <row r="324" spans="1:10" ht="14.95" customHeight="1">
      <c r="A324" s="414" t="s">
        <v>3273</v>
      </c>
      <c r="B324" s="737">
        <f>'Аксессуары (2)'!B324*1.3*($K$2/100+1)</f>
        <v>350.767989</v>
      </c>
      <c r="C324" s="737">
        <f>'Аксессуары (2)'!C324*1.3*($K$2/100+1)</f>
        <v>389.74220999999994</v>
      </c>
      <c r="D324" s="737">
        <f>'Аксессуары (2)'!D324*1.3*($K$2/100+1)</f>
        <v>428.716431</v>
      </c>
      <c r="E324" s="737">
        <f>'Аксессуары (2)'!E324*1.6*($K$2/100+1)</f>
        <v>575.61926399999993</v>
      </c>
      <c r="F324" s="737">
        <f>'Аксессуары (2)'!F324*1.6*($K$2/100+1)</f>
        <v>633.18119039999999</v>
      </c>
      <c r="G324" s="737">
        <f>'Аксессуары (2)'!G324*1.6*($K$2/100+1)</f>
        <v>690.74311679999994</v>
      </c>
      <c r="H324" s="738">
        <f>'Аксессуары (2)'!H324*1.8*($K$2/100+1)</f>
        <v>1079.28612</v>
      </c>
      <c r="I324" s="738">
        <f>'Аксессуары (2)'!J324*1.5*($K$2/100+1)</f>
        <v>1349.1076499999997</v>
      </c>
      <c r="J324" s="739">
        <f>'Аксессуары (2)'!J324*1.8*($K$2/100+1)</f>
        <v>1618.9291799999999</v>
      </c>
    </row>
    <row r="325" spans="1:10" ht="14.95" customHeight="1">
      <c r="A325" s="414" t="s">
        <v>3274</v>
      </c>
      <c r="B325" s="737">
        <f>'Аксессуары (2)'!B325*1.3*($K$2/100+1)</f>
        <v>362.01122099999998</v>
      </c>
      <c r="C325" s="737">
        <f>'Аксессуары (2)'!C325*1.3*($K$2/100+1)</f>
        <v>402.23468999999994</v>
      </c>
      <c r="D325" s="737">
        <f>'Аксессуары (2)'!D325*1.3*($K$2/100+1)</f>
        <v>442.45815900000002</v>
      </c>
      <c r="E325" s="737">
        <f>'Аксессуары (2)'!E325*1.6*($K$2/100+1)</f>
        <v>594.06969599999991</v>
      </c>
      <c r="F325" s="737">
        <f>'Аксессуары (2)'!F325*1.6*($K$2/100+1)</f>
        <v>653.47666559999993</v>
      </c>
      <c r="G325" s="737">
        <f>'Аксессуары (2)'!G325*1.6*($K$2/100+1)</f>
        <v>712.88363520000007</v>
      </c>
      <c r="H325" s="738">
        <f>'Аксессуары (2)'!H325*1.8*($K$2/100+1)</f>
        <v>1113.88068</v>
      </c>
      <c r="I325" s="738">
        <f>'Аксессуары (2)'!J325*1.5*($K$2/100+1)</f>
        <v>1392.35085</v>
      </c>
      <c r="J325" s="739">
        <f>'Аксессуары (2)'!J325*1.8*($K$2/100+1)</f>
        <v>1670.8210200000001</v>
      </c>
    </row>
    <row r="326" spans="1:10" ht="14.95" customHeight="1">
      <c r="A326" s="414" t="s">
        <v>3275</v>
      </c>
      <c r="B326" s="737">
        <f>'Аксессуары (2)'!B326*1.3*($K$2/100+1)</f>
        <v>397.14632099999994</v>
      </c>
      <c r="C326" s="737">
        <f>'Аксессуары (2)'!C326*1.3*($K$2/100+1)</f>
        <v>441.27368999999999</v>
      </c>
      <c r="D326" s="737">
        <f>'Аксессуары (2)'!D326*1.3*($K$2/100+1)</f>
        <v>485.40105899999998</v>
      </c>
      <c r="E326" s="737">
        <f>'Аксессуары (2)'!E326*1.6*($K$2/100+1)</f>
        <v>651.72729599999991</v>
      </c>
      <c r="F326" s="737">
        <f>'Аксессуары (2)'!F326*1.6*($K$2/100+1)</f>
        <v>716.90002559999994</v>
      </c>
      <c r="G326" s="737">
        <f>'Аксессуары (2)'!G326*1.6*($K$2/100+1)</f>
        <v>782.07275519999985</v>
      </c>
      <c r="H326" s="738">
        <f>'Аксессуары (2)'!H326*1.8*($K$2/100+1)</f>
        <v>1221.9886799999999</v>
      </c>
      <c r="I326" s="738">
        <f>'Аксессуары (2)'!J326*1.5*($K$2/100+1)</f>
        <v>1527.4858499999998</v>
      </c>
      <c r="J326" s="739">
        <f>'Аксессуары (2)'!J326*1.8*($K$2/100+1)</f>
        <v>1832.9830199999999</v>
      </c>
    </row>
    <row r="327" spans="1:10" ht="14.95" customHeight="1">
      <c r="A327" s="414" t="s">
        <v>3276</v>
      </c>
      <c r="B327" s="737">
        <f>'Аксессуары (2)'!B327*1.3*($K$2/100+1)</f>
        <v>432.28142099999991</v>
      </c>
      <c r="C327" s="737">
        <f>'Аксессуары (2)'!C327*1.3*($K$2/100+1)</f>
        <v>480.31268999999992</v>
      </c>
      <c r="D327" s="737">
        <f>'Аксессуары (2)'!D327*1.3*($K$2/100+1)</f>
        <v>528.34395899999993</v>
      </c>
      <c r="E327" s="737">
        <f>'Аксессуары (2)'!E327*1.6*($K$2/100+1)</f>
        <v>709.38489599999991</v>
      </c>
      <c r="F327" s="737">
        <f>'Аксессуары (2)'!F327*1.6*($K$2/100+1)</f>
        <v>780.32338559999994</v>
      </c>
      <c r="G327" s="737">
        <f>'Аксессуары (2)'!G327*1.6*($K$2/100+1)</f>
        <v>851.26187519999974</v>
      </c>
      <c r="H327" s="738">
        <f>'Аксессуары (2)'!H327*1.8*($K$2/100+1)</f>
        <v>1330.0966799999997</v>
      </c>
      <c r="I327" s="738">
        <f>'Аксессуары (2)'!J327*1.5*($K$2/100+1)</f>
        <v>1662.6208499999996</v>
      </c>
      <c r="J327" s="739">
        <f>'Аксессуары (2)'!J327*1.8*($K$2/100+1)</f>
        <v>1995.1450199999995</v>
      </c>
    </row>
    <row r="328" spans="1:10" ht="14.95" customHeight="1">
      <c r="A328" s="414" t="s">
        <v>3277</v>
      </c>
      <c r="B328" s="737">
        <f>'Аксессуары (2)'!B328*1.3*($K$2/100+1)</f>
        <v>362.01122099999998</v>
      </c>
      <c r="C328" s="737">
        <f>'Аксессуары (2)'!C328*1.3*($K$2/100+1)</f>
        <v>402.23468999999994</v>
      </c>
      <c r="D328" s="737">
        <f>'Аксессуары (2)'!D328*1.3*($K$2/100+1)</f>
        <v>442.45815900000002</v>
      </c>
      <c r="E328" s="737">
        <f>'Аксессуары (2)'!E328*1.6*($K$2/100+1)</f>
        <v>594.06969599999991</v>
      </c>
      <c r="F328" s="737">
        <f>'Аксессуары (2)'!F328*1.6*($K$2/100+1)</f>
        <v>653.47666559999993</v>
      </c>
      <c r="G328" s="737">
        <f>'Аксессуары (2)'!G328*1.6*($K$2/100+1)</f>
        <v>712.88363520000007</v>
      </c>
      <c r="H328" s="738">
        <f>'Аксессуары (2)'!H328*1.8*($K$2/100+1)</f>
        <v>1113.88068</v>
      </c>
      <c r="I328" s="738">
        <f>'Аксессуары (2)'!J328*1.5*($K$2/100+1)</f>
        <v>1392.35085</v>
      </c>
      <c r="J328" s="739">
        <f>'Аксессуары (2)'!J328*1.8*($K$2/100+1)</f>
        <v>1670.8210200000001</v>
      </c>
    </row>
    <row r="329" spans="1:10" ht="14.95" customHeight="1">
      <c r="A329" s="414" t="s">
        <v>3278</v>
      </c>
      <c r="B329" s="737">
        <f>'Аксессуары (2)'!B329*1.3*($K$2/100+1)</f>
        <v>397.14632099999994</v>
      </c>
      <c r="C329" s="737">
        <f>'Аксессуары (2)'!C329*1.3*($K$2/100+1)</f>
        <v>441.27368999999999</v>
      </c>
      <c r="D329" s="737">
        <f>'Аксессуары (2)'!D329*1.3*($K$2/100+1)</f>
        <v>485.40105899999998</v>
      </c>
      <c r="E329" s="737">
        <f>'Аксессуары (2)'!E329*1.6*($K$2/100+1)</f>
        <v>651.72729599999991</v>
      </c>
      <c r="F329" s="737">
        <f>'Аксессуары (2)'!F329*1.6*($K$2/100+1)</f>
        <v>716.90002559999994</v>
      </c>
      <c r="G329" s="737">
        <f>'Аксессуары (2)'!G329*1.6*($K$2/100+1)</f>
        <v>782.07275519999985</v>
      </c>
      <c r="H329" s="738">
        <f>'Аксессуары (2)'!H329*1.8*($K$2/100+1)</f>
        <v>1221.9886799999999</v>
      </c>
      <c r="I329" s="738">
        <f>'Аксессуары (2)'!J329*1.5*($K$2/100+1)</f>
        <v>1527.4858499999998</v>
      </c>
      <c r="J329" s="739">
        <f>'Аксессуары (2)'!J329*1.8*($K$2/100+1)</f>
        <v>1832.9830199999999</v>
      </c>
    </row>
    <row r="330" spans="1:10" ht="14.95" customHeight="1">
      <c r="A330" s="414" t="s">
        <v>3279</v>
      </c>
      <c r="B330" s="737">
        <f>'Аксессуары (2)'!B330*1.3*($K$2/100+1)</f>
        <v>432.8084475</v>
      </c>
      <c r="C330" s="737">
        <f>'Аксессуары (2)'!C330*1.3*($K$2/100+1)</f>
        <v>480.89827500000001</v>
      </c>
      <c r="D330" s="737">
        <f>'Аксессуары (2)'!D330*1.3*($K$2/100+1)</f>
        <v>528.98810249999997</v>
      </c>
      <c r="E330" s="737">
        <f>'Аксессуары (2)'!E330*1.6*($K$2/100+1)</f>
        <v>710.24976000000004</v>
      </c>
      <c r="F330" s="737">
        <f>'Аксессуары (2)'!F330*1.6*($K$2/100+1)</f>
        <v>781.27473600000008</v>
      </c>
      <c r="G330" s="737">
        <f>'Аксессуары (2)'!G330*1.6*($K$2/100+1)</f>
        <v>852.299712</v>
      </c>
      <c r="H330" s="738">
        <f>'Аксессуары (2)'!H330*1.8*($K$2/100+1)</f>
        <v>1331.7183</v>
      </c>
      <c r="I330" s="738">
        <f>'Аксессуары (2)'!J330*1.5*($K$2/100+1)</f>
        <v>1664.6478750000001</v>
      </c>
      <c r="J330" s="739">
        <f>'Аксессуары (2)'!J330*1.8*($K$2/100+1)</f>
        <v>1997.57745</v>
      </c>
    </row>
    <row r="331" spans="1:10" ht="14.95" customHeight="1">
      <c r="A331" s="414" t="s">
        <v>3280</v>
      </c>
      <c r="B331" s="737">
        <f>'Аксессуары (2)'!B331*1.3*($K$2/100+1)</f>
        <v>365.52473099999997</v>
      </c>
      <c r="C331" s="737">
        <f>'Аксессуары (2)'!C331*1.3*($K$2/100+1)</f>
        <v>406.13858999999997</v>
      </c>
      <c r="D331" s="737">
        <f>'Аксессуары (2)'!D331*1.3*($K$2/100+1)</f>
        <v>446.75244899999996</v>
      </c>
      <c r="E331" s="737">
        <f>'Аксессуары (2)'!E331*1.6*($K$2/100+1)</f>
        <v>599.83545599999991</v>
      </c>
      <c r="F331" s="737">
        <f>'Аксессуары (2)'!F331*1.6*($K$2/100+1)</f>
        <v>659.81900159999998</v>
      </c>
      <c r="G331" s="737">
        <f>'Аксессуары (2)'!G331*1.6*($K$2/100+1)</f>
        <v>719.80254719999994</v>
      </c>
      <c r="H331" s="738">
        <f>'Аксессуары (2)'!H331*1.8*($K$2/100+1)</f>
        <v>1124.6914799999997</v>
      </c>
      <c r="I331" s="738">
        <f>'Аксессуары (2)'!J331*1.5*($K$2/100+1)</f>
        <v>1405.8643499999998</v>
      </c>
      <c r="J331" s="739">
        <f>'Аксессуары (2)'!J331*1.8*($K$2/100+1)</f>
        <v>1687.0372199999997</v>
      </c>
    </row>
    <row r="332" spans="1:10" ht="14.95" customHeight="1">
      <c r="A332" s="414" t="s">
        <v>3281</v>
      </c>
      <c r="B332" s="737">
        <f>'Аксессуары (2)'!B332*1.3*($K$2/100+1)</f>
        <v>333.20043900000002</v>
      </c>
      <c r="C332" s="737">
        <f>'Аксессуары (2)'!C332*1.3*($K$2/100+1)</f>
        <v>370.22271000000001</v>
      </c>
      <c r="D332" s="737">
        <f>'Аксессуары (2)'!D332*1.3*($K$2/100+1)</f>
        <v>407.24498100000005</v>
      </c>
      <c r="E332" s="737">
        <f>'Аксессуары (2)'!E332*1.6*($K$2/100+1)</f>
        <v>546.79046400000004</v>
      </c>
      <c r="F332" s="737">
        <f>'Аксессуары (2)'!F332*1.6*($K$2/100+1)</f>
        <v>601.4695104000001</v>
      </c>
      <c r="G332" s="737">
        <f>'Аксессуары (2)'!G332*1.6*($K$2/100+1)</f>
        <v>656.14855679999994</v>
      </c>
      <c r="H332" s="738">
        <f>'Аксессуары (2)'!H332*1.8*($K$2/100+1)</f>
        <v>1025.2321200000001</v>
      </c>
      <c r="I332" s="738">
        <f>'Аксессуары (2)'!J332*1.5*($K$2/100+1)</f>
        <v>1281.5401500000003</v>
      </c>
      <c r="J332" s="739">
        <f>'Аксессуары (2)'!J332*1.8*($K$2/100+1)</f>
        <v>1537.8481800000002</v>
      </c>
    </row>
    <row r="333" spans="1:10" ht="14.95" customHeight="1">
      <c r="A333" s="414" t="s">
        <v>3282</v>
      </c>
      <c r="B333" s="737">
        <f>'Аксессуары (2)'!B333*1.3*($K$2/100+1)</f>
        <v>368.33553899999998</v>
      </c>
      <c r="C333" s="737">
        <f>'Аксессуары (2)'!C333*1.3*($K$2/100+1)</f>
        <v>409.26170999999999</v>
      </c>
      <c r="D333" s="737">
        <f>'Аксессуары (2)'!D333*1.3*($K$2/100+1)</f>
        <v>450.18788099999995</v>
      </c>
      <c r="E333" s="737">
        <f>'Аксессуары (2)'!E333*1.6*($K$2/100+1)</f>
        <v>604.44806399999993</v>
      </c>
      <c r="F333" s="737">
        <f>'Аксессуары (2)'!F333*1.6*($K$2/100+1)</f>
        <v>664.89287039999999</v>
      </c>
      <c r="G333" s="737">
        <f>'Аксессуары (2)'!G333*1.6*($K$2/100+1)</f>
        <v>725.33767679999983</v>
      </c>
      <c r="H333" s="738">
        <f>'Аксессуары (2)'!H333*1.8*($K$2/100+1)</f>
        <v>1133.3401199999998</v>
      </c>
      <c r="I333" s="738">
        <f>'Аксессуары (2)'!J333*1.5*($K$2/100+1)</f>
        <v>1416.67515</v>
      </c>
      <c r="J333" s="739">
        <f>'Аксессуары (2)'!J333*1.8*($K$2/100+1)</f>
        <v>1700.0101800000002</v>
      </c>
    </row>
    <row r="334" spans="1:10" ht="14.95" customHeight="1" thickBot="1">
      <c r="A334" s="415" t="s">
        <v>3283</v>
      </c>
      <c r="B334" s="737">
        <f>'Аксессуары (2)'!B334*1.3*($K$2/100+1)</f>
        <v>405.22739399999995</v>
      </c>
      <c r="C334" s="737">
        <f>'Аксессуары (2)'!C334*1.3*($K$2/100+1)</f>
        <v>450.25265999999999</v>
      </c>
      <c r="D334" s="737">
        <f>'Аксессуары (2)'!D334*1.3*($K$2/100+1)</f>
        <v>495.27792599999992</v>
      </c>
      <c r="E334" s="737">
        <f>'Аксессуары (2)'!E334*1.6*($K$2/100+1)</f>
        <v>664.98854399999993</v>
      </c>
      <c r="F334" s="737">
        <f>'Аксессуары (2)'!F334*1.6*($K$2/100+1)</f>
        <v>731.48739839999996</v>
      </c>
      <c r="G334" s="737">
        <f>'Аксессуары (2)'!G334*1.6*($K$2/100+1)</f>
        <v>797.98625279999976</v>
      </c>
      <c r="H334" s="738">
        <f>'Аксессуары (2)'!H334*1.8*($K$2/100+1)</f>
        <v>1246.8535199999999</v>
      </c>
      <c r="I334" s="738">
        <f>'Аксессуары (2)'!J334*1.5*($K$2/100+1)</f>
        <v>1558.5668999999998</v>
      </c>
      <c r="J334" s="739">
        <f>'Аксессуары (2)'!J334*1.8*($K$2/100+1)</f>
        <v>1870.2802799999997</v>
      </c>
    </row>
    <row r="335" spans="1:10" s="254" customFormat="1" ht="14.95" customHeight="1" thickBot="1">
      <c r="A335" s="615" t="s">
        <v>3284</v>
      </c>
      <c r="B335" s="842"/>
      <c r="C335" s="843"/>
      <c r="D335" s="843"/>
      <c r="E335" s="843"/>
      <c r="F335" s="843"/>
      <c r="G335" s="843"/>
      <c r="H335" s="843"/>
      <c r="I335" s="843"/>
      <c r="J335" s="844"/>
    </row>
    <row r="336" spans="1:10" ht="14.95" customHeight="1">
      <c r="A336" s="423" t="s">
        <v>3285</v>
      </c>
      <c r="B336" s="737">
        <f>'Аксессуары (2)'!B336*1.3*($K$2/100+1)</f>
        <v>71.432361</v>
      </c>
      <c r="C336" s="737">
        <f>'Аксессуары (2)'!C336*1.3*($K$2/100+1)</f>
        <v>79.369290000000007</v>
      </c>
      <c r="D336" s="737">
        <f>'Аксессуары (2)'!D336*1.3*($K$2/100+1)</f>
        <v>87.306219000000013</v>
      </c>
      <c r="E336" s="737">
        <f>'Аксессуары (2)'!E336*1.6*($K$2/100+1)</f>
        <v>117.222336</v>
      </c>
      <c r="F336" s="737">
        <f>'Аксессуары (2)'!F336*1.6*($K$2/100+1)</f>
        <v>128.94456960000002</v>
      </c>
      <c r="G336" s="737">
        <f>'Аксессуары (2)'!G336*1.6*($K$2/100+1)</f>
        <v>140.6668032</v>
      </c>
      <c r="H336" s="738">
        <f>'Аксессуары (2)'!H336*1.8*($K$2/100+1)</f>
        <v>219.79187999999999</v>
      </c>
      <c r="I336" s="738">
        <f>'Аксессуары (2)'!J336*1.48*($K$2/100+1)</f>
        <v>271.07665199999997</v>
      </c>
      <c r="J336" s="739">
        <f>'Аксессуары (2)'!J336*1.8*($K$2/100+1)</f>
        <v>329.68781999999999</v>
      </c>
    </row>
    <row r="337" spans="1:10" ht="14.95" customHeight="1">
      <c r="A337" s="414" t="s">
        <v>3286</v>
      </c>
      <c r="B337" s="737">
        <f>'Аксессуары (2)'!B337*1.3*($K$2/100+1)</f>
        <v>72.837765000000005</v>
      </c>
      <c r="C337" s="737">
        <f>'Аксессуары (2)'!C337*1.3*($K$2/100+1)</f>
        <v>80.930849999999992</v>
      </c>
      <c r="D337" s="737">
        <f>'Аксессуары (2)'!D337*1.3*($K$2/100+1)</f>
        <v>89.023935000000009</v>
      </c>
      <c r="E337" s="737">
        <f>'Аксессуары (2)'!E337*1.6*($K$2/100+1)</f>
        <v>119.52863999999998</v>
      </c>
      <c r="F337" s="737">
        <f>'Аксессуары (2)'!F337*1.6*($K$2/100+1)</f>
        <v>131.481504</v>
      </c>
      <c r="G337" s="737">
        <f>'Аксессуары (2)'!G337*1.6*($K$2/100+1)</f>
        <v>143.43436799999998</v>
      </c>
      <c r="H337" s="740">
        <f>'Аксессуары (2)'!H337*1.8*($K$2/100+1)</f>
        <v>224.11619999999999</v>
      </c>
      <c r="I337" s="740">
        <f>'Аксессуары (2)'!J337*1.48*($K$2/100+1)</f>
        <v>276.40997999999996</v>
      </c>
      <c r="J337" s="741">
        <f>'Аксессуары (2)'!J337*1.8*($K$2/100+1)</f>
        <v>336.17429999999996</v>
      </c>
    </row>
    <row r="338" spans="1:10" ht="14.95" customHeight="1">
      <c r="A338" s="414" t="s">
        <v>3287</v>
      </c>
      <c r="B338" s="737">
        <f>'Аксессуары (2)'!B338*1.3*($K$2/100+1)</f>
        <v>73.891818000000001</v>
      </c>
      <c r="C338" s="737">
        <f>'Аксессуары (2)'!C338*1.3*($K$2/100+1)</f>
        <v>82.102019999999982</v>
      </c>
      <c r="D338" s="737">
        <f>'Аксессуары (2)'!D338*1.3*($K$2/100+1)</f>
        <v>90.312222000000006</v>
      </c>
      <c r="E338" s="737">
        <f>'Аксессуары (2)'!E338*1.6*($K$2/100+1)</f>
        <v>121.25836799999999</v>
      </c>
      <c r="F338" s="737">
        <f>'Аксессуары (2)'!F338*1.6*($K$2/100+1)</f>
        <v>133.38420479999999</v>
      </c>
      <c r="G338" s="737">
        <f>'Аксессуары (2)'!G338*1.6*($K$2/100+1)</f>
        <v>145.51004159999999</v>
      </c>
      <c r="H338" s="740">
        <f>'Аксессуары (2)'!H338*1.8*($K$2/100+1)</f>
        <v>227.35943999999998</v>
      </c>
      <c r="I338" s="740">
        <f>'Аксессуары (2)'!J338*1.48*($K$2/100+1)</f>
        <v>280.40997599999997</v>
      </c>
      <c r="J338" s="741">
        <f>'Аксессуары (2)'!J338*1.8*($K$2/100+1)</f>
        <v>341.03915999999998</v>
      </c>
    </row>
    <row r="339" spans="1:10" ht="14.95" customHeight="1">
      <c r="A339" s="414" t="s">
        <v>3288</v>
      </c>
      <c r="B339" s="737">
        <f>'Аксессуары (2)'!B339*1.3*($K$2/100+1)</f>
        <v>76.526950499999998</v>
      </c>
      <c r="C339" s="737">
        <f>'Аксессуары (2)'!C339*1.3*($K$2/100+1)</f>
        <v>85.029944999999984</v>
      </c>
      <c r="D339" s="737">
        <f>'Аксессуары (2)'!D339*1.3*($K$2/100+1)</f>
        <v>93.532939499999998</v>
      </c>
      <c r="E339" s="737">
        <f>'Аксессуары (2)'!E339*1.6*($K$2/100+1)</f>
        <v>125.58268799999999</v>
      </c>
      <c r="F339" s="737">
        <f>'Аксессуары (2)'!F339*1.6*($K$2/100+1)</f>
        <v>138.14095679999997</v>
      </c>
      <c r="G339" s="737">
        <f>'Аксессуары (2)'!G339*1.6*($K$2/100+1)</f>
        <v>150.69922559999998</v>
      </c>
      <c r="H339" s="740">
        <f>'Аксессуары (2)'!H339*1.8*($K$2/100+1)</f>
        <v>235.46753999999996</v>
      </c>
      <c r="I339" s="740">
        <f>'Аксессуары (2)'!J339*1.48*($K$2/100+1)</f>
        <v>290.409966</v>
      </c>
      <c r="J339" s="741">
        <f>'Аксессуары (2)'!J339*1.8*($K$2/100+1)</f>
        <v>353.20131000000003</v>
      </c>
    </row>
    <row r="340" spans="1:10" ht="14.95" customHeight="1">
      <c r="A340" s="414" t="s">
        <v>3289</v>
      </c>
      <c r="B340" s="737">
        <f>'Аксессуары (2)'!B340*1.3*($K$2/100+1)</f>
        <v>78.986407500000013</v>
      </c>
      <c r="C340" s="737">
        <f>'Аксессуары (2)'!C340*1.3*($K$2/100+1)</f>
        <v>87.762675000000002</v>
      </c>
      <c r="D340" s="737">
        <f>'Аксессуары (2)'!D340*1.3*($K$2/100+1)</f>
        <v>96.538942500000005</v>
      </c>
      <c r="E340" s="737">
        <f>'Аксессуары (2)'!E340*1.6*($K$2/100+1)</f>
        <v>129.61872</v>
      </c>
      <c r="F340" s="737">
        <f>'Аксессуары (2)'!F340*1.6*($K$2/100+1)</f>
        <v>142.58059200000002</v>
      </c>
      <c r="G340" s="737">
        <f>'Аксессуары (2)'!G340*1.6*($K$2/100+1)</f>
        <v>155.542464</v>
      </c>
      <c r="H340" s="740">
        <f>'Аксессуары (2)'!H340*1.8*($K$2/100+1)</f>
        <v>243.0351</v>
      </c>
      <c r="I340" s="740">
        <f>'Аксессуары (2)'!J340*1.48*($K$2/100+1)</f>
        <v>299.74329</v>
      </c>
      <c r="J340" s="741">
        <f>'Аксессуары (2)'!J340*1.8*($K$2/100+1)</f>
        <v>364.55264999999997</v>
      </c>
    </row>
    <row r="341" spans="1:10" ht="14.95" customHeight="1">
      <c r="A341" s="414" t="s">
        <v>3290</v>
      </c>
      <c r="B341" s="737">
        <f>'Аксессуары (2)'!B341*1.3*($K$2/100+1)</f>
        <v>81.621539999999996</v>
      </c>
      <c r="C341" s="737">
        <f>'Аксессуары (2)'!C341*1.3*($K$2/100+1)</f>
        <v>90.690600000000003</v>
      </c>
      <c r="D341" s="737">
        <f>'Аксессуары (2)'!D341*1.3*($K$2/100+1)</f>
        <v>99.759660000000011</v>
      </c>
      <c r="E341" s="737">
        <f>'Аксессуары (2)'!E341*1.6*($K$2/100+1)</f>
        <v>133.94304</v>
      </c>
      <c r="F341" s="737">
        <f>'Аксессуары (2)'!F341*1.6*($K$2/100+1)</f>
        <v>147.33734400000003</v>
      </c>
      <c r="G341" s="737">
        <f>'Аксессуары (2)'!G341*1.6*($K$2/100+1)</f>
        <v>160.73164799999998</v>
      </c>
      <c r="H341" s="740">
        <f>'Аксессуары (2)'!H341*1.8*($K$2/100+1)</f>
        <v>251.14319999999998</v>
      </c>
      <c r="I341" s="740">
        <f>'Аксессуары (2)'!J341*1.48*($K$2/100+1)</f>
        <v>309.74327999999997</v>
      </c>
      <c r="J341" s="741">
        <f>'Аксессуары (2)'!J341*1.8*($K$2/100+1)</f>
        <v>376.71480000000003</v>
      </c>
    </row>
    <row r="342" spans="1:10" ht="14.95" customHeight="1">
      <c r="A342" s="414" t="s">
        <v>3291</v>
      </c>
      <c r="B342" s="737">
        <f>'Аксессуары (2)'!B342*1.3*($K$2/100+1)</f>
        <v>83.905321499999999</v>
      </c>
      <c r="C342" s="737">
        <f>'Аксессуары (2)'!C342*1.3*($K$2/100+1)</f>
        <v>93.228135000000009</v>
      </c>
      <c r="D342" s="737">
        <f>'Аксессуары (2)'!D342*1.3*($K$2/100+1)</f>
        <v>102.5509485</v>
      </c>
      <c r="E342" s="737">
        <f>'Аксессуары (2)'!E342*1.6*($K$2/100+1)</f>
        <v>137.69078399999998</v>
      </c>
      <c r="F342" s="737">
        <f>'Аксессуары (2)'!F342*1.6*($K$2/100+1)</f>
        <v>151.45986240000002</v>
      </c>
      <c r="G342" s="737">
        <f>'Аксессуары (2)'!G342*1.6*($K$2/100+1)</f>
        <v>165.2289408</v>
      </c>
      <c r="H342" s="740">
        <f>'Аксессуары (2)'!H342*1.8*($K$2/100+1)</f>
        <v>258.17021999999997</v>
      </c>
      <c r="I342" s="740">
        <f>'Аксессуары (2)'!J342*1.48*($K$2/100+1)</f>
        <v>318.40993800000001</v>
      </c>
      <c r="J342" s="741">
        <f>'Аксессуары (2)'!J342*1.8*($K$2/100+1)</f>
        <v>387.25533000000001</v>
      </c>
    </row>
    <row r="343" spans="1:10" ht="14.95" customHeight="1">
      <c r="A343" s="414" t="s">
        <v>3292</v>
      </c>
      <c r="B343" s="737">
        <f>'Аксессуары (2)'!B343*1.3*($K$2/100+1)</f>
        <v>88.8242355</v>
      </c>
      <c r="C343" s="737">
        <f>'Аксессуары (2)'!C343*1.3*($K$2/100+1)</f>
        <v>98.693594999999988</v>
      </c>
      <c r="D343" s="737">
        <f>'Аксессуары (2)'!D343*1.3*($K$2/100+1)</f>
        <v>108.5629545</v>
      </c>
      <c r="E343" s="737">
        <f>'Аксессуары (2)'!E343*1.6*($K$2/100+1)</f>
        <v>145.76284799999996</v>
      </c>
      <c r="F343" s="737">
        <f>'Аксессуары (2)'!F343*1.6*($K$2/100+1)</f>
        <v>160.33913279999999</v>
      </c>
      <c r="G343" s="737">
        <f>'Аксессуары (2)'!G343*1.6*($K$2/100+1)</f>
        <v>174.91541759999998</v>
      </c>
      <c r="H343" s="740">
        <f>'Аксессуары (2)'!H343*1.8*($K$2/100+1)</f>
        <v>273.30534</v>
      </c>
      <c r="I343" s="740">
        <f>'Аксессуары (2)'!J343*1.48*($K$2/100+1)</f>
        <v>337.07658599999991</v>
      </c>
      <c r="J343" s="741">
        <f>'Аксессуары (2)'!J343*1.8*($K$2/100+1)</f>
        <v>409.95800999999994</v>
      </c>
    </row>
    <row r="344" spans="1:10" ht="14.95" customHeight="1" thickBot="1">
      <c r="A344" s="415" t="s">
        <v>3293</v>
      </c>
      <c r="B344" s="737">
        <f>'Аксессуары (2)'!B344*1.3*($K$2/100+1)</f>
        <v>93.743149500000001</v>
      </c>
      <c r="C344" s="737">
        <f>'Аксессуары (2)'!C344*1.3*($K$2/100+1)</f>
        <v>104.159055</v>
      </c>
      <c r="D344" s="737">
        <f>'Аксессуары (2)'!D344*1.3*($K$2/100+1)</f>
        <v>114.57496050000002</v>
      </c>
      <c r="E344" s="737">
        <f>'Аксессуары (2)'!E344*1.6*($K$2/100+1)</f>
        <v>153.83491199999997</v>
      </c>
      <c r="F344" s="737">
        <f>'Аксессуары (2)'!F344*1.6*($K$2/100+1)</f>
        <v>169.21840320000001</v>
      </c>
      <c r="G344" s="737">
        <f>'Аксессуары (2)'!G344*1.6*($K$2/100+1)</f>
        <v>184.60189439999996</v>
      </c>
      <c r="H344" s="742">
        <f>'Аксессуары (2)'!H344*1.8*($K$2/100+1)</f>
        <v>288.44045999999997</v>
      </c>
      <c r="I344" s="742">
        <f>'Аксессуары (2)'!J344*1.48*($K$2/100+1)</f>
        <v>355.74323399999997</v>
      </c>
      <c r="J344" s="743">
        <f>'Аксессуары (2)'!J344*1.8*($K$2/100+1)</f>
        <v>432.66068999999993</v>
      </c>
    </row>
    <row r="345" spans="1:10" s="254" customFormat="1" ht="14.95" customHeight="1" thickBot="1">
      <c r="A345" s="615" t="s">
        <v>2807</v>
      </c>
      <c r="B345" s="842"/>
      <c r="C345" s="843"/>
      <c r="D345" s="843"/>
      <c r="E345" s="843"/>
      <c r="F345" s="843"/>
      <c r="G345" s="843"/>
      <c r="H345" s="843"/>
      <c r="I345" s="843"/>
      <c r="J345" s="844"/>
    </row>
    <row r="346" spans="1:10" ht="14.95" customHeight="1">
      <c r="A346" s="423" t="s">
        <v>2055</v>
      </c>
      <c r="B346" s="737">
        <f>'Аксессуары (2)'!B346*1.3*($K$2/100+1)</f>
        <v>386.84131200000007</v>
      </c>
      <c r="C346" s="737">
        <f>'Аксессуары (2)'!C346*1.3*($K$2/100+1)</f>
        <v>429.82368000000002</v>
      </c>
      <c r="D346" s="737">
        <f>'Аксессуары (2)'!D346*1.3*($K$2/100+1)</f>
        <v>472.80604800000009</v>
      </c>
      <c r="E346" s="737">
        <f>'Аксессуары (2)'!E346*1.6*($K$2/100+1)</f>
        <v>634.8165120000001</v>
      </c>
      <c r="F346" s="737">
        <f>'Аксессуары (2)'!F346*1.6*($K$2/100+1)</f>
        <v>698.29816320000009</v>
      </c>
      <c r="G346" s="737">
        <f>'Аксессуары (2)'!G346*1.6*($K$2/100+1)</f>
        <v>761.77981439999996</v>
      </c>
      <c r="H346" s="738">
        <f>'Аксессуары (2)'!H346*1.8*($K$2/100+1)</f>
        <v>1190.2809600000001</v>
      </c>
      <c r="I346" s="738">
        <f>'Аксессуары (2)'!J346*1.5*($K$2/100+1)</f>
        <v>1487.8512000000001</v>
      </c>
      <c r="J346" s="739">
        <f>'Аксессуары (2)'!J346*1.8*($K$2/100+1)</f>
        <v>1785.4214400000001</v>
      </c>
    </row>
    <row r="347" spans="1:10" ht="14.95" customHeight="1">
      <c r="A347" s="414" t="s">
        <v>2056</v>
      </c>
      <c r="B347" s="737">
        <f>'Аксессуары (2)'!B347*1.3*($K$2/100+1)</f>
        <v>397.03049099999998</v>
      </c>
      <c r="C347" s="737">
        <f>'Аксессуары (2)'!C347*1.3*($K$2/100+1)</f>
        <v>441.14499000000001</v>
      </c>
      <c r="D347" s="737">
        <f>'Аксессуары (2)'!D347*1.3*($K$2/100+1)</f>
        <v>485.25948900000003</v>
      </c>
      <c r="E347" s="737">
        <f>'Аксессуары (2)'!E347*1.6*($K$2/100+1)</f>
        <v>651.53721599999994</v>
      </c>
      <c r="F347" s="737">
        <f>'Аксессуары (2)'!F347*1.6*($K$2/100+1)</f>
        <v>716.69093759999998</v>
      </c>
      <c r="G347" s="737">
        <f>'Аксессуары (2)'!G347*1.6*($K$2/100+1)</f>
        <v>781.84465920000002</v>
      </c>
      <c r="H347" s="740">
        <f>'Аксессуары (2)'!H347*1.8*($K$2/100+1)</f>
        <v>1221.6322799999998</v>
      </c>
      <c r="I347" s="740">
        <f>'Аксессуары (2)'!J347*1.5*($K$2/100+1)</f>
        <v>1527.04035</v>
      </c>
      <c r="J347" s="741">
        <f>'Аксессуары (2)'!J347*1.8*($K$2/100+1)</f>
        <v>1832.4484200000002</v>
      </c>
    </row>
    <row r="348" spans="1:10" ht="14.95" customHeight="1">
      <c r="A348" s="414" t="s">
        <v>2057</v>
      </c>
      <c r="B348" s="737">
        <f>'Аксессуары (2)'!B348*1.3*($K$2/100+1)</f>
        <v>405.81426599999998</v>
      </c>
      <c r="C348" s="737">
        <f>'Аксессуары (2)'!C348*1.3*($K$2/100+1)</f>
        <v>450.90473999999995</v>
      </c>
      <c r="D348" s="737">
        <f>'Аксессуары (2)'!D348*1.3*($K$2/100+1)</f>
        <v>495.99521399999998</v>
      </c>
      <c r="E348" s="737">
        <f>'Аксессуары (2)'!E348*1.6*($K$2/100+1)</f>
        <v>665.95161599999994</v>
      </c>
      <c r="F348" s="737">
        <f>'Аксессуары (2)'!F348*1.6*($K$2/100+1)</f>
        <v>732.54677760000004</v>
      </c>
      <c r="G348" s="737">
        <f>'Аксессуары (2)'!G348*1.6*($K$2/100+1)</f>
        <v>799.14193919999991</v>
      </c>
      <c r="H348" s="740">
        <f>'Аксессуары (2)'!H348*1.8*($K$2/100+1)</f>
        <v>1248.6592799999999</v>
      </c>
      <c r="I348" s="740">
        <f>'Аксессуары (2)'!J348*1.5*($K$2/100+1)</f>
        <v>1560.8240999999998</v>
      </c>
      <c r="J348" s="741">
        <f>'Аксессуары (2)'!J348*1.8*($K$2/100+1)</f>
        <v>1872.98892</v>
      </c>
    </row>
    <row r="349" spans="1:10" ht="14.95" customHeight="1">
      <c r="A349" s="414" t="s">
        <v>2058</v>
      </c>
      <c r="B349" s="737">
        <f>'Аксессуары (2)'!B349*1.3*($K$2/100+1)</f>
        <v>394.74670949999995</v>
      </c>
      <c r="C349" s="737">
        <f>'Аксессуары (2)'!C349*1.3*($K$2/100+1)</f>
        <v>438.60745499999996</v>
      </c>
      <c r="D349" s="737">
        <f>'Аксессуары (2)'!D349*1.3*($K$2/100+1)</f>
        <v>482.46820049999997</v>
      </c>
      <c r="E349" s="737">
        <f>'Аксессуары (2)'!E349*1.6*($K$2/100+1)</f>
        <v>647.78947199999993</v>
      </c>
      <c r="F349" s="737">
        <f>'Аксессуары (2)'!F349*1.6*($K$2/100+1)</f>
        <v>712.56841919999988</v>
      </c>
      <c r="G349" s="737">
        <f>'Аксессуары (2)'!G349*1.6*($K$2/100+1)</f>
        <v>777.34736639999983</v>
      </c>
      <c r="H349" s="740">
        <f>'Аксессуары (2)'!H349*1.8*($K$2/100+1)</f>
        <v>1214.6052599999998</v>
      </c>
      <c r="I349" s="740">
        <f>'Аксессуары (2)'!J349*1.5*($K$2/100+1)</f>
        <v>1518.2565749999997</v>
      </c>
      <c r="J349" s="741">
        <f>'Аксессуары (2)'!J349*1.8*($K$2/100+1)</f>
        <v>1821.9078899999995</v>
      </c>
    </row>
    <row r="350" spans="1:10" ht="14.95" customHeight="1">
      <c r="A350" s="414" t="s">
        <v>2059</v>
      </c>
      <c r="B350" s="737">
        <f>'Аксессуары (2)'!B350*1.3*($K$2/100+1)</f>
        <v>425.31424649999997</v>
      </c>
      <c r="C350" s="737">
        <f>'Аксессуары (2)'!C350*1.3*($K$2/100+1)</f>
        <v>472.57138499999996</v>
      </c>
      <c r="D350" s="737">
        <f>'Аксессуары (2)'!D350*1.3*($K$2/100+1)</f>
        <v>519.82852349999996</v>
      </c>
      <c r="E350" s="737">
        <f>'Аксессуары (2)'!E350*1.6*($K$2/100+1)</f>
        <v>697.95158399999991</v>
      </c>
      <c r="F350" s="737">
        <f>'Аксессуары (2)'!F350*1.6*($K$2/100+1)</f>
        <v>767.74674240000002</v>
      </c>
      <c r="G350" s="737">
        <f>'Аксессуары (2)'!G350*1.6*($K$2/100+1)</f>
        <v>837.54190079999989</v>
      </c>
      <c r="H350" s="740">
        <f>'Аксессуары (2)'!H350*1.8*($K$2/100+1)</f>
        <v>1308.65922</v>
      </c>
      <c r="I350" s="740">
        <f>'Аксессуары (2)'!J350*1.5*($K$2/100+1)</f>
        <v>1635.8240249999999</v>
      </c>
      <c r="J350" s="741">
        <f>'Аксессуары (2)'!J350*1.8*($K$2/100+1)</f>
        <v>1962.98883</v>
      </c>
    </row>
    <row r="351" spans="1:10" ht="14.95" customHeight="1">
      <c r="A351" s="414" t="s">
        <v>2060</v>
      </c>
      <c r="B351" s="737">
        <f>'Аксессуары (2)'!B351*1.3*($K$2/100+1)</f>
        <v>433.922346</v>
      </c>
      <c r="C351" s="737">
        <f>'Аксессуары (2)'!C351*1.3*($K$2/100+1)</f>
        <v>482.13593999999995</v>
      </c>
      <c r="D351" s="737">
        <f>'Аксессуары (2)'!D351*1.3*($K$2/100+1)</f>
        <v>530.34953400000006</v>
      </c>
      <c r="E351" s="737">
        <f>'Аксессуары (2)'!E351*1.6*($K$2/100+1)</f>
        <v>712.07769599999995</v>
      </c>
      <c r="F351" s="737">
        <f>'Аксессуары (2)'!F351*1.6*($K$2/100+1)</f>
        <v>783.28546559999995</v>
      </c>
      <c r="G351" s="737">
        <f>'Аксессуары (2)'!G351*1.6*($K$2/100+1)</f>
        <v>854.49323519999973</v>
      </c>
      <c r="H351" s="740">
        <f>'Аксессуары (2)'!H351*1.8*($K$2/100+1)</f>
        <v>1335.1456800000001</v>
      </c>
      <c r="I351" s="740">
        <f>'Аксессуары (2)'!J351*1.5*($K$2/100+1)</f>
        <v>1668.9321</v>
      </c>
      <c r="J351" s="741">
        <f>'Аксессуары (2)'!J351*1.8*($K$2/100+1)</f>
        <v>2002.7185199999999</v>
      </c>
    </row>
    <row r="352" spans="1:10" ht="14.95" customHeight="1">
      <c r="A352" s="414" t="s">
        <v>2061</v>
      </c>
      <c r="B352" s="737">
        <f>'Аксессуары (2)'!B352*1.3*($K$2/100+1)</f>
        <v>437.96288249999998</v>
      </c>
      <c r="C352" s="737">
        <f>'Аксессуары (2)'!C352*1.3*($K$2/100+1)</f>
        <v>486.62542500000001</v>
      </c>
      <c r="D352" s="737">
        <f>'Аксессуары (2)'!D352*1.3*($K$2/100+1)</f>
        <v>535.28796750000004</v>
      </c>
      <c r="E352" s="737">
        <f>'Аксессуары (2)'!E352*1.6*($K$2/100+1)</f>
        <v>718.70831999999996</v>
      </c>
      <c r="F352" s="737">
        <f>'Аксессуары (2)'!F352*1.6*($K$2/100+1)</f>
        <v>790.57915200000014</v>
      </c>
      <c r="G352" s="737">
        <f>'Аксессуары (2)'!G352*1.6*($K$2/100+1)</f>
        <v>862.44998399999997</v>
      </c>
      <c r="H352" s="740">
        <f>'Аксессуары (2)'!H352*1.8*($K$2/100+1)</f>
        <v>1347.5780999999999</v>
      </c>
      <c r="I352" s="740">
        <f>'Аксессуары (2)'!J352*1.5*($K$2/100+1)</f>
        <v>1684.4726249999999</v>
      </c>
      <c r="J352" s="741">
        <f>'Аксессуары (2)'!J352*1.8*($K$2/100+1)</f>
        <v>2021.36715</v>
      </c>
    </row>
    <row r="353" spans="1:10" ht="14.95" customHeight="1">
      <c r="A353" s="414" t="s">
        <v>2062</v>
      </c>
      <c r="B353" s="737">
        <f>'Аксессуары (2)'!B353*1.3*($K$2/100+1)</f>
        <v>452.36827349999999</v>
      </c>
      <c r="C353" s="737">
        <f>'Аксессуары (2)'!C353*1.3*($K$2/100+1)</f>
        <v>502.631415</v>
      </c>
      <c r="D353" s="737">
        <f>'Аксессуары (2)'!D353*1.3*($K$2/100+1)</f>
        <v>552.89455650000002</v>
      </c>
      <c r="E353" s="737">
        <f>'Аксессуары (2)'!E353*1.6*($K$2/100+1)</f>
        <v>742.34793599999989</v>
      </c>
      <c r="F353" s="737">
        <f>'Аксессуары (2)'!F353*1.6*($K$2/100+1)</f>
        <v>816.58272959999999</v>
      </c>
      <c r="G353" s="737">
        <f>'Аксессуары (2)'!G353*1.6*($K$2/100+1)</f>
        <v>890.81752319999975</v>
      </c>
      <c r="H353" s="740">
        <f>'Аксессуары (2)'!H353*1.8*($K$2/100+1)</f>
        <v>1391.90238</v>
      </c>
      <c r="I353" s="740">
        <f>'Аксессуары (2)'!J353*1.5*($K$2/100+1)</f>
        <v>1739.8779750000001</v>
      </c>
      <c r="J353" s="741">
        <f>'Аксессуары (2)'!J353*1.8*($K$2/100+1)</f>
        <v>2087.8535699999998</v>
      </c>
    </row>
    <row r="354" spans="1:10" ht="14.95" customHeight="1">
      <c r="A354" s="414" t="s">
        <v>2063</v>
      </c>
      <c r="B354" s="737">
        <f>'Аксессуары (2)'!B354*1.3*($K$2/100+1)</f>
        <v>472.57095600000002</v>
      </c>
      <c r="C354" s="737">
        <f>'Аксессуары (2)'!C354*1.3*($K$2/100+1)</f>
        <v>525.07884000000001</v>
      </c>
      <c r="D354" s="737">
        <f>'Аксессуары (2)'!D354*1.3*($K$2/100+1)</f>
        <v>577.586724</v>
      </c>
      <c r="E354" s="737">
        <f>'Аксессуары (2)'!E354*1.6*($K$2/100+1)</f>
        <v>775.50105600000006</v>
      </c>
      <c r="F354" s="737">
        <f>'Аксессуары (2)'!F354*1.6*($K$2/100+1)</f>
        <v>853.0511616</v>
      </c>
      <c r="G354" s="737">
        <f>'Аксессуары (2)'!G354*1.6*($K$2/100+1)</f>
        <v>930.60126719999994</v>
      </c>
      <c r="H354" s="740">
        <f>'Аксессуары (2)'!H354*1.8*($K$2/100+1)</f>
        <v>1454.06448</v>
      </c>
      <c r="I354" s="740">
        <f>'Аксессуары (2)'!J354*1.5*($K$2/100+1)</f>
        <v>1817.5805999999995</v>
      </c>
      <c r="J354" s="741">
        <f>'Аксессуары (2)'!J354*1.8*($K$2/100+1)</f>
        <v>2181.09672</v>
      </c>
    </row>
    <row r="355" spans="1:10" ht="14.95" customHeight="1">
      <c r="A355" s="414" t="s">
        <v>2064</v>
      </c>
      <c r="B355" s="737">
        <f>'Аксессуары (2)'!B355*1.3*($K$2/100+1)</f>
        <v>454.12502850000004</v>
      </c>
      <c r="C355" s="737">
        <f>'Аксессуары (2)'!C355*1.3*($K$2/100+1)</f>
        <v>504.58336500000001</v>
      </c>
      <c r="D355" s="737">
        <f>'Аксессуары (2)'!D355*1.3*($K$2/100+1)</f>
        <v>555.04170150000004</v>
      </c>
      <c r="E355" s="737">
        <f>'Аксессуары (2)'!E355*1.6*($K$2/100+1)</f>
        <v>745.230816</v>
      </c>
      <c r="F355" s="737">
        <f>'Аксессуары (2)'!F355*1.6*($K$2/100+1)</f>
        <v>819.75389760000007</v>
      </c>
      <c r="G355" s="737">
        <f>'Аксессуары (2)'!G355*1.6*($K$2/100+1)</f>
        <v>894.27697920000014</v>
      </c>
      <c r="H355" s="740">
        <f>'Аксессуары (2)'!H355*1.8*($K$2/100+1)</f>
        <v>1397.3077799999999</v>
      </c>
      <c r="I355" s="740">
        <f>'Аксессуары (2)'!J355*1.5*($K$2/100+1)</f>
        <v>1746.6347249999997</v>
      </c>
      <c r="J355" s="741">
        <f>'Аксессуары (2)'!J355*1.8*($K$2/100+1)</f>
        <v>2095.9616700000001</v>
      </c>
    </row>
    <row r="356" spans="1:10" ht="14.95" customHeight="1">
      <c r="A356" s="414" t="s">
        <v>2065</v>
      </c>
      <c r="B356" s="737">
        <f>'Аксессуары (2)'!B356*1.3*($K$2/100+1)</f>
        <v>485.21959199999992</v>
      </c>
      <c r="C356" s="737">
        <f>'Аксессуары (2)'!C356*1.3*($K$2/100+1)</f>
        <v>539.13288</v>
      </c>
      <c r="D356" s="737">
        <f>'Аксессуары (2)'!D356*1.3*($K$2/100+1)</f>
        <v>593.04616800000008</v>
      </c>
      <c r="E356" s="737">
        <f>'Аксессуары (2)'!E356*1.6*($K$2/100+1)</f>
        <v>796.25779199999999</v>
      </c>
      <c r="F356" s="737">
        <f>'Аксессуары (2)'!F356*1.6*($K$2/100+1)</f>
        <v>875.88357120000012</v>
      </c>
      <c r="G356" s="737">
        <f>'Аксессуары (2)'!G356*1.6*($K$2/100+1)</f>
        <v>955.50935040000002</v>
      </c>
      <c r="H356" s="740">
        <f>'Аксессуары (2)'!H356*1.8*($K$2/100+1)</f>
        <v>1492.9833599999999</v>
      </c>
      <c r="I356" s="740">
        <f>'Аксессуары (2)'!J356*1.5*($K$2/100+1)</f>
        <v>1866.2291999999995</v>
      </c>
      <c r="J356" s="741">
        <f>'Аксессуары (2)'!J356*1.8*($K$2/100+1)</f>
        <v>2239.4750399999998</v>
      </c>
    </row>
    <row r="357" spans="1:10" ht="14.95" customHeight="1">
      <c r="A357" s="414" t="s">
        <v>2066</v>
      </c>
      <c r="B357" s="737">
        <f>'Аксессуары (2)'!B357*1.3*($K$2/100+1)</f>
        <v>508.40875800000003</v>
      </c>
      <c r="C357" s="737">
        <f>'Аксессуары (2)'!C357*1.3*($K$2/100+1)</f>
        <v>564.89861999999994</v>
      </c>
      <c r="D357" s="737">
        <f>'Аксессуары (2)'!D357*1.3*($K$2/100+1)</f>
        <v>621.38848199999995</v>
      </c>
      <c r="E357" s="737">
        <f>'Аксессуары (2)'!E357*1.6*($K$2/100+1)</f>
        <v>834.31180800000004</v>
      </c>
      <c r="F357" s="737">
        <f>'Аксессуары (2)'!F357*1.6*($K$2/100+1)</f>
        <v>917.74298879999992</v>
      </c>
      <c r="G357" s="737">
        <f>'Аксессуары (2)'!G357*1.6*($K$2/100+1)</f>
        <v>1001.1741696</v>
      </c>
      <c r="H357" s="740">
        <f>'Аксессуары (2)'!H357*1.8*($K$2/100+1)</f>
        <v>1564.3346399999998</v>
      </c>
      <c r="I357" s="740">
        <f>'Аксессуары (2)'!J357*1.5*($K$2/100+1)</f>
        <v>1955.4182999999996</v>
      </c>
      <c r="J357" s="741">
        <f>'Аксессуары (2)'!J357*1.8*($K$2/100+1)</f>
        <v>2346.5019599999996</v>
      </c>
    </row>
    <row r="358" spans="1:10" ht="14.95" customHeight="1">
      <c r="A358" s="414" t="s">
        <v>2067</v>
      </c>
      <c r="B358" s="737">
        <f>'Аксессуары (2)'!B358*1.3*($K$2/100+1)</f>
        <v>556.71952049999993</v>
      </c>
      <c r="C358" s="737">
        <f>'Аксессуары (2)'!C358*1.3*($K$2/100+1)</f>
        <v>618.57724499999995</v>
      </c>
      <c r="D358" s="737">
        <f>'Аксессуары (2)'!D358*1.3*($K$2/100+1)</f>
        <v>680.43496949999985</v>
      </c>
      <c r="E358" s="737">
        <f>'Аксессуары (2)'!E358*1.6*($K$2/100+1)</f>
        <v>913.59100799999987</v>
      </c>
      <c r="F358" s="737">
        <f>'Аксессуары (2)'!F358*1.6*($K$2/100+1)</f>
        <v>1004.9501087999998</v>
      </c>
      <c r="G358" s="737">
        <f>'Аксессуары (2)'!G358*1.6*($K$2/100+1)</f>
        <v>1096.3092095999998</v>
      </c>
      <c r="H358" s="740">
        <f>'Аксессуары (2)'!H358*1.8*($K$2/100+1)</f>
        <v>1712.9831399999998</v>
      </c>
      <c r="I358" s="740">
        <f>'Аксессуары (2)'!J358*1.5*($K$2/100+1)</f>
        <v>2141.2289249999994</v>
      </c>
      <c r="J358" s="741">
        <f>'Аксессуары (2)'!J358*1.8*($K$2/100+1)</f>
        <v>2569.47471</v>
      </c>
    </row>
    <row r="359" spans="1:10" ht="14.95" customHeight="1">
      <c r="A359" s="414" t="s">
        <v>2068</v>
      </c>
      <c r="B359" s="737">
        <f>'Аксессуары (2)'!B359*1.3*($K$2/100+1)</f>
        <v>487.327698</v>
      </c>
      <c r="C359" s="737">
        <f>'Аксессуары (2)'!C359*1.3*($K$2/100+1)</f>
        <v>541.47521999999992</v>
      </c>
      <c r="D359" s="737">
        <f>'Аксессуары (2)'!D359*1.3*($K$2/100+1)</f>
        <v>595.6227419999999</v>
      </c>
      <c r="E359" s="737">
        <f>'Аксессуары (2)'!E359*1.6*($K$2/100+1)</f>
        <v>799.71724799999981</v>
      </c>
      <c r="F359" s="737">
        <f>'Аксессуары (2)'!F359*1.6*($K$2/100+1)</f>
        <v>879.68897279999987</v>
      </c>
      <c r="G359" s="737">
        <f>'Аксессуары (2)'!G359*1.6*($K$2/100+1)</f>
        <v>959.66069759999982</v>
      </c>
      <c r="H359" s="740">
        <f>'Аксессуары (2)'!H359*1.8*($K$2/100+1)</f>
        <v>1499.46984</v>
      </c>
      <c r="I359" s="740">
        <f>'Аксессуары (2)'!J359*1.5*($K$2/100+1)</f>
        <v>1874.3372999999999</v>
      </c>
      <c r="J359" s="741">
        <f>'Аксессуары (2)'!J359*1.8*($K$2/100+1)</f>
        <v>2249.2047600000001</v>
      </c>
    </row>
    <row r="360" spans="1:10" ht="14.95" customHeight="1">
      <c r="A360" s="414" t="s">
        <v>2069</v>
      </c>
      <c r="B360" s="737">
        <f>'Аксессуары (2)'!B360*1.3*($K$2/100+1)</f>
        <v>498.74660550000004</v>
      </c>
      <c r="C360" s="737">
        <f>'Аксессуары (2)'!C360*1.3*($K$2/100+1)</f>
        <v>554.16289500000005</v>
      </c>
      <c r="D360" s="737">
        <f>'Аксессуары (2)'!D360*1.3*($K$2/100+1)</f>
        <v>609.5791845</v>
      </c>
      <c r="E360" s="737">
        <f>'Аксессуары (2)'!E360*1.6*($K$2/100+1)</f>
        <v>818.45596799999987</v>
      </c>
      <c r="F360" s="737">
        <f>'Аксессуары (2)'!F360*1.6*($K$2/100+1)</f>
        <v>900.30156480000005</v>
      </c>
      <c r="G360" s="737">
        <f>'Аксессуары (2)'!G360*1.6*($K$2/100+1)</f>
        <v>982.14716159999989</v>
      </c>
      <c r="H360" s="740">
        <f>'Аксессуары (2)'!H360*1.8*($K$2/100+1)</f>
        <v>1534.6049399999999</v>
      </c>
      <c r="I360" s="740">
        <f>'Аксессуары (2)'!J360*1.5*($K$2/100+1)</f>
        <v>1918.256175</v>
      </c>
      <c r="J360" s="741">
        <f>'Аксессуары (2)'!J360*1.8*($K$2/100+1)</f>
        <v>2301.9074099999998</v>
      </c>
    </row>
    <row r="361" spans="1:10" ht="14.95" customHeight="1">
      <c r="A361" s="414" t="s">
        <v>2070</v>
      </c>
      <c r="B361" s="737">
        <f>'Аксессуары (2)'!B361*1.3*($K$2/100+1)</f>
        <v>504.19254600000005</v>
      </c>
      <c r="C361" s="737">
        <f>'Аксессуары (2)'!C361*1.3*($K$2/100+1)</f>
        <v>560.21394000000009</v>
      </c>
      <c r="D361" s="737">
        <f>'Аксессуары (2)'!D361*1.3*($K$2/100+1)</f>
        <v>616.23533400000008</v>
      </c>
      <c r="E361" s="737">
        <f>'Аксессуары (2)'!E361*1.6*($K$2/100+1)</f>
        <v>827.39289600000006</v>
      </c>
      <c r="F361" s="737">
        <f>'Аксессуары (2)'!F361*1.6*($K$2/100+1)</f>
        <v>910.13218560000007</v>
      </c>
      <c r="G361" s="737">
        <f>'Аксессуары (2)'!G361*1.6*($K$2/100+1)</f>
        <v>992.87147520000008</v>
      </c>
      <c r="H361" s="740">
        <f>'Аксессуары (2)'!H361*1.8*($K$2/100+1)</f>
        <v>1551.3616800000002</v>
      </c>
      <c r="I361" s="740">
        <f>'Аксессуары (2)'!J361*1.5*($K$2/100+1)</f>
        <v>1939.2021</v>
      </c>
      <c r="J361" s="741">
        <f>'Аксессуары (2)'!J361*1.8*($K$2/100+1)</f>
        <v>2327.0425200000004</v>
      </c>
    </row>
    <row r="362" spans="1:10" ht="14.95" customHeight="1">
      <c r="A362" s="414" t="s">
        <v>2071</v>
      </c>
      <c r="B362" s="737">
        <f>'Аксессуары (2)'!B362*1.3*($K$2/100+1)</f>
        <v>522.81414899999993</v>
      </c>
      <c r="C362" s="737">
        <f>'Аксессуары (2)'!C362*1.3*($K$2/100+1)</f>
        <v>580.90460999999993</v>
      </c>
      <c r="D362" s="737">
        <f>'Аксессуары (2)'!D362*1.3*($K$2/100+1)</f>
        <v>638.99507100000005</v>
      </c>
      <c r="E362" s="737">
        <f>'Аксессуары (2)'!E362*1.6*($K$2/100+1)</f>
        <v>857.95142399999986</v>
      </c>
      <c r="F362" s="737">
        <f>'Аксессуары (2)'!F362*1.6*($K$2/100+1)</f>
        <v>943.74656640000001</v>
      </c>
      <c r="G362" s="737">
        <f>'Аксессуары (2)'!G362*1.6*($K$2/100+1)</f>
        <v>1029.5417087999999</v>
      </c>
      <c r="H362" s="740">
        <f>'Аксессуары (2)'!H362*1.8*($K$2/100+1)</f>
        <v>1608.6589199999999</v>
      </c>
      <c r="I362" s="740">
        <f>'Аксессуары (2)'!J362*1.5*($K$2/100+1)</f>
        <v>2010.82365</v>
      </c>
      <c r="J362" s="741">
        <f>'Аксессуары (2)'!J362*1.8*($K$2/100+1)</f>
        <v>2412.9883799999998</v>
      </c>
    </row>
    <row r="363" spans="1:10" ht="14.95" customHeight="1">
      <c r="A363" s="414" t="s">
        <v>2072</v>
      </c>
      <c r="B363" s="737">
        <f>'Аксессуары (2)'!B363*1.3*($K$2/100+1)</f>
        <v>548.63844749999998</v>
      </c>
      <c r="C363" s="737">
        <f>'Аксессуары (2)'!C363*1.3*($K$2/100+1)</f>
        <v>609.59827499999994</v>
      </c>
      <c r="D363" s="737">
        <f>'Аксессуары (2)'!D363*1.3*($K$2/100+1)</f>
        <v>670.55810250000002</v>
      </c>
      <c r="E363" s="737">
        <f>'Аксессуары (2)'!E363*1.6*($K$2/100+1)</f>
        <v>900.32975999999996</v>
      </c>
      <c r="F363" s="737">
        <f>'Аксессуары (2)'!F363*1.6*($K$2/100+1)</f>
        <v>990.36273600000004</v>
      </c>
      <c r="G363" s="737">
        <f>'Аксессуары (2)'!G363*1.6*($K$2/100+1)</f>
        <v>1080.395712</v>
      </c>
      <c r="H363" s="740">
        <f>'Аксессуары (2)'!H363*1.8*($K$2/100+1)</f>
        <v>1688.1182999999999</v>
      </c>
      <c r="I363" s="740">
        <f>'Аксессуары (2)'!J363*1.5*($K$2/100+1)</f>
        <v>2110.1478750000001</v>
      </c>
      <c r="J363" s="741">
        <f>'Аксессуары (2)'!J363*1.8*($K$2/100+1)</f>
        <v>2532.1774499999997</v>
      </c>
    </row>
    <row r="364" spans="1:10" ht="14.95" customHeight="1">
      <c r="A364" s="414" t="s">
        <v>2073</v>
      </c>
      <c r="B364" s="737">
        <f>'Аксессуары (2)'!B364*1.3*($K$2/100+1)</f>
        <v>583.77354750000006</v>
      </c>
      <c r="C364" s="737">
        <f>'Аксессуары (2)'!C364*1.3*($K$2/100+1)</f>
        <v>648.63727499999993</v>
      </c>
      <c r="D364" s="737">
        <f>'Аксессуары (2)'!D364*1.3*($K$2/100+1)</f>
        <v>713.50100249999991</v>
      </c>
      <c r="E364" s="737">
        <f>'Аксессуары (2)'!E364*1.6*($K$2/100+1)</f>
        <v>957.98735999999985</v>
      </c>
      <c r="F364" s="737">
        <f>'Аксессуары (2)'!F364*1.6*($K$2/100+1)</f>
        <v>1053.786096</v>
      </c>
      <c r="G364" s="737">
        <f>'Аксессуары (2)'!G364*1.6*($K$2/100+1)</f>
        <v>1149.584832</v>
      </c>
      <c r="H364" s="740">
        <f>'Аксессуары (2)'!H364*1.8*($K$2/100+1)</f>
        <v>1796.2263</v>
      </c>
      <c r="I364" s="740">
        <f>'Аксессуары (2)'!J364*1.5*($K$2/100+1)</f>
        <v>2245.2828749999999</v>
      </c>
      <c r="J364" s="741">
        <f>'Аксессуары (2)'!J364*1.8*($K$2/100+1)</f>
        <v>2694.3394499999999</v>
      </c>
    </row>
    <row r="365" spans="1:10" ht="14.95" customHeight="1">
      <c r="A365" s="414" t="s">
        <v>2074</v>
      </c>
      <c r="B365" s="737">
        <f>'Аксессуары (2)'!B365*1.3*($K$2/100+1)</f>
        <v>618.90864750000003</v>
      </c>
      <c r="C365" s="737">
        <f>'Аксессуары (2)'!C365*1.3*($K$2/100+1)</f>
        <v>687.67627500000003</v>
      </c>
      <c r="D365" s="737">
        <f>'Аксессуары (2)'!D365*1.3*($K$2/100+1)</f>
        <v>756.44390250000004</v>
      </c>
      <c r="E365" s="737">
        <f>'Аксессуары (2)'!E365*1.6*($K$2/100+1)</f>
        <v>1015.64496</v>
      </c>
      <c r="F365" s="737">
        <f>'Аксессуары (2)'!F365*1.6*($K$2/100+1)</f>
        <v>1117.209456</v>
      </c>
      <c r="G365" s="737">
        <f>'Аксессуары (2)'!G365*1.6*($K$2/100+1)</f>
        <v>1218.773952</v>
      </c>
      <c r="H365" s="740">
        <f>'Аксессуары (2)'!H365*1.8*($K$2/100+1)</f>
        <v>1904.3343</v>
      </c>
      <c r="I365" s="740">
        <f>'Аксессуары (2)'!J365*1.5*($K$2/100+1)</f>
        <v>2380.4178750000001</v>
      </c>
      <c r="J365" s="741">
        <f>'Аксессуары (2)'!J365*1.8*($K$2/100+1)</f>
        <v>2856.5014500000002</v>
      </c>
    </row>
    <row r="366" spans="1:10" ht="14.95" customHeight="1">
      <c r="A366" s="414" t="s">
        <v>2075</v>
      </c>
      <c r="B366" s="737">
        <f>'Аксессуары (2)'!B366*1.3*($K$2/100+1)</f>
        <v>549.69250049999994</v>
      </c>
      <c r="C366" s="737">
        <f>'Аксессуары (2)'!C366*1.3*($K$2/100+1)</f>
        <v>610.76944499999991</v>
      </c>
      <c r="D366" s="737">
        <f>'Аксессуары (2)'!D366*1.3*($K$2/100+1)</f>
        <v>671.84638949999999</v>
      </c>
      <c r="E366" s="737">
        <f>'Аксессуары (2)'!E366*1.6*($K$2/100+1)</f>
        <v>902.05948799999999</v>
      </c>
      <c r="F366" s="737">
        <f>'Аксессуары (2)'!F366*1.6*($K$2/100+1)</f>
        <v>992.26543679999986</v>
      </c>
      <c r="G366" s="737">
        <f>'Аксессуары (2)'!G366*1.6*($K$2/100+1)</f>
        <v>1082.4713855999998</v>
      </c>
      <c r="H366" s="740">
        <f>'Аксессуары (2)'!H366*1.8*($K$2/100+1)</f>
        <v>1691.3615400000001</v>
      </c>
      <c r="I366" s="740">
        <f>'Аксессуары (2)'!J366*1.5*($K$2/100+1)</f>
        <v>2114.2019249999998</v>
      </c>
      <c r="J366" s="741">
        <f>'Аксессуары (2)'!J366*1.8*($K$2/100+1)</f>
        <v>2537.0423099999998</v>
      </c>
    </row>
    <row r="367" spans="1:10" ht="14.95" customHeight="1">
      <c r="A367" s="414" t="s">
        <v>2076</v>
      </c>
      <c r="B367" s="737">
        <f>'Аксессуары (2)'!B367*1.3*($K$2/100+1)</f>
        <v>584.8276004999999</v>
      </c>
      <c r="C367" s="737">
        <f>'Аксессуары (2)'!C367*1.3*($K$2/100+1)</f>
        <v>649.80844499999989</v>
      </c>
      <c r="D367" s="737">
        <f>'Аксессуары (2)'!D367*1.3*($K$2/100+1)</f>
        <v>714.78928949999988</v>
      </c>
      <c r="E367" s="737">
        <f>'Аксессуары (2)'!E367*1.6*($K$2/100+1)</f>
        <v>959.71708799999988</v>
      </c>
      <c r="F367" s="737">
        <f>'Аксессуары (2)'!F367*1.6*($K$2/100+1)</f>
        <v>1055.6887968000001</v>
      </c>
      <c r="G367" s="737">
        <f>'Аксессуары (2)'!G367*1.6*($K$2/100+1)</f>
        <v>1151.6605055999999</v>
      </c>
      <c r="H367" s="740">
        <f>'Аксессуары (2)'!H367*1.8*($K$2/100+1)</f>
        <v>1799.4695399999996</v>
      </c>
      <c r="I367" s="740">
        <f>'Аксессуары (2)'!J367*1.5*($K$2/100+1)</f>
        <v>2249.3369249999996</v>
      </c>
      <c r="J367" s="741">
        <f>'Аксессуары (2)'!J367*1.8*($K$2/100+1)</f>
        <v>2699.2043099999996</v>
      </c>
    </row>
    <row r="368" spans="1:10" ht="14.95" customHeight="1">
      <c r="A368" s="414" t="s">
        <v>2077</v>
      </c>
      <c r="B368" s="737">
        <f>'Аксессуары (2)'!B368*1.3*($K$2/100+1)</f>
        <v>619.96270049999998</v>
      </c>
      <c r="C368" s="737">
        <f>'Аксессуары (2)'!C368*1.3*($K$2/100+1)</f>
        <v>688.84744499999999</v>
      </c>
      <c r="D368" s="737">
        <f>'Аксессуары (2)'!D368*1.3*($K$2/100+1)</f>
        <v>757.7321895</v>
      </c>
      <c r="E368" s="737">
        <f>'Аксессуары (2)'!E368*1.6*($K$2/100+1)</f>
        <v>1017.3746879999998</v>
      </c>
      <c r="F368" s="737">
        <f>'Аксессуары (2)'!F368*1.6*($K$2/100+1)</f>
        <v>1119.1121567999999</v>
      </c>
      <c r="G368" s="737">
        <f>'Аксессуары (2)'!G368*1.6*($K$2/100+1)</f>
        <v>1220.8496255999996</v>
      </c>
      <c r="H368" s="740">
        <f>'Аксессуары (2)'!H368*1.8*($K$2/100+1)</f>
        <v>1907.5775399999995</v>
      </c>
      <c r="I368" s="740">
        <f>'Аксессуары (2)'!J368*1.5*($K$2/100+1)</f>
        <v>2384.4719249999998</v>
      </c>
      <c r="J368" s="741">
        <f>'Аксессуары (2)'!J368*1.8*($K$2/100+1)</f>
        <v>2861.3663099999994</v>
      </c>
    </row>
    <row r="369" spans="1:10" ht="14.95" customHeight="1">
      <c r="A369" s="414" t="s">
        <v>2078</v>
      </c>
      <c r="B369" s="737">
        <f>'Аксессуары (2)'!B369*1.3*($K$2/100+1)</f>
        <v>655.09780049999995</v>
      </c>
      <c r="C369" s="737">
        <f>'Аксессуары (2)'!C369*1.3*($K$2/100+1)</f>
        <v>727.88644499999998</v>
      </c>
      <c r="D369" s="737">
        <f>'Аксессуары (2)'!D369*1.3*($K$2/100+1)</f>
        <v>800.67508950000013</v>
      </c>
      <c r="E369" s="737">
        <f>'Аксессуары (2)'!E369*1.6*($K$2/100+1)</f>
        <v>1075.0322880000001</v>
      </c>
      <c r="F369" s="737">
        <f>'Аксессуары (2)'!F369*1.6*($K$2/100+1)</f>
        <v>1182.5355168000001</v>
      </c>
      <c r="G369" s="737">
        <f>'Аксессуары (2)'!G369*1.6*($K$2/100+1)</f>
        <v>1290.0387456000001</v>
      </c>
      <c r="H369" s="740">
        <f>'Аксессуары (2)'!H369*1.8*($K$2/100+1)</f>
        <v>2015.6855399999999</v>
      </c>
      <c r="I369" s="740">
        <f>'Аксессуары (2)'!J369*1.5*($K$2/100+1)</f>
        <v>2519.606925</v>
      </c>
      <c r="J369" s="741">
        <f>'Аксессуары (2)'!J369*1.8*($K$2/100+1)</f>
        <v>3023.5283100000001</v>
      </c>
    </row>
    <row r="370" spans="1:10" ht="14.95" customHeight="1">
      <c r="A370" s="414" t="s">
        <v>2079</v>
      </c>
      <c r="B370" s="737">
        <f>'Аксессуары (2)'!B370*1.3*($K$2/100+1)</f>
        <v>690.23290049999991</v>
      </c>
      <c r="C370" s="737">
        <f>'Аксессуары (2)'!C370*1.3*($K$2/100+1)</f>
        <v>766.92544499999997</v>
      </c>
      <c r="D370" s="737">
        <f>'Аксессуары (2)'!D370*1.3*($K$2/100+1)</f>
        <v>843.61798950000002</v>
      </c>
      <c r="E370" s="737">
        <f>'Аксессуары (2)'!E370*1.6*($K$2/100+1)</f>
        <v>1132.6898880000001</v>
      </c>
      <c r="F370" s="737">
        <f>'Аксессуары (2)'!F370*1.6*($K$2/100+1)</f>
        <v>1245.9588768000001</v>
      </c>
      <c r="G370" s="737">
        <f>'Аксессуары (2)'!G370*1.6*($K$2/100+1)</f>
        <v>1359.2278655999999</v>
      </c>
      <c r="H370" s="740">
        <f>'Аксессуары (2)'!H370*1.8*($K$2/100+1)</f>
        <v>2123.7935400000001</v>
      </c>
      <c r="I370" s="740">
        <f>'Аксессуары (2)'!J370*1.5*($K$2/100+1)</f>
        <v>2654.7419249999998</v>
      </c>
      <c r="J370" s="741">
        <f>'Аксессуары (2)'!J370*1.8*($K$2/100+1)</f>
        <v>3185.69031</v>
      </c>
    </row>
    <row r="371" spans="1:10" ht="14.95" customHeight="1">
      <c r="A371" s="414" t="s">
        <v>2080</v>
      </c>
      <c r="B371" s="737">
        <f>'Аксессуары (2)'!B371*1.3*($K$2/100+1)</f>
        <v>567.26005050000003</v>
      </c>
      <c r="C371" s="737">
        <f>'Аксессуары (2)'!C371*1.3*($K$2/100+1)</f>
        <v>630.28894500000001</v>
      </c>
      <c r="D371" s="737">
        <f>'Аксессуары (2)'!D371*1.3*($K$2/100+1)</f>
        <v>693.3178395000001</v>
      </c>
      <c r="E371" s="737">
        <f>'Аксессуары (2)'!E371*1.6*($K$2/100+1)</f>
        <v>930.88828799999987</v>
      </c>
      <c r="F371" s="737">
        <f>'Аксессуары (2)'!F371*1.6*($K$2/100+1)</f>
        <v>1023.9771168000001</v>
      </c>
      <c r="G371" s="737">
        <f>'Аксессуары (2)'!G371*1.6*($K$2/100+1)</f>
        <v>1117.0659456000001</v>
      </c>
      <c r="H371" s="740">
        <f>'Аксессуары (2)'!H371*1.8*($K$2/100+1)</f>
        <v>1745.41554</v>
      </c>
      <c r="I371" s="740">
        <f>'Аксессуары (2)'!J371*1.5*($K$2/100+1)</f>
        <v>2181.769425</v>
      </c>
      <c r="J371" s="741">
        <f>'Аксессуары (2)'!J371*1.8*($K$2/100+1)</f>
        <v>2618.1233099999999</v>
      </c>
    </row>
    <row r="372" spans="1:10" ht="14.95" customHeight="1">
      <c r="A372" s="414" t="s">
        <v>2081</v>
      </c>
      <c r="B372" s="737">
        <f>'Аксессуары (2)'!B372*1.3*($K$2/100+1)</f>
        <v>581.48976600000003</v>
      </c>
      <c r="C372" s="737">
        <f>'Аксессуары (2)'!C372*1.3*($K$2/100+1)</f>
        <v>646.09974</v>
      </c>
      <c r="D372" s="737">
        <f>'Аксессуары (2)'!D372*1.3*($K$2/100+1)</f>
        <v>710.70971400000008</v>
      </c>
      <c r="E372" s="737">
        <f>'Аксессуары (2)'!E372*1.6*($K$2/100+1)</f>
        <v>954.23961599999996</v>
      </c>
      <c r="F372" s="737">
        <f>'Аксессуары (2)'!F372*1.6*($K$2/100+1)</f>
        <v>1049.6635776000001</v>
      </c>
      <c r="G372" s="737">
        <f>'Аксессуары (2)'!G372*1.6*($K$2/100+1)</f>
        <v>1145.0875391999998</v>
      </c>
      <c r="H372" s="740">
        <f>'Аксессуары (2)'!H372*1.8*($K$2/100+1)</f>
        <v>1789.1992799999998</v>
      </c>
      <c r="I372" s="740">
        <f>'Аксессуары (2)'!J372*1.5*($K$2/100+1)</f>
        <v>2236.4991</v>
      </c>
      <c r="J372" s="741">
        <f>'Аксессуары (2)'!J372*1.8*($K$2/100+1)</f>
        <v>2683.7989199999997</v>
      </c>
    </row>
    <row r="373" spans="1:10" ht="14.95" customHeight="1">
      <c r="A373" s="414" t="s">
        <v>2082</v>
      </c>
      <c r="B373" s="737">
        <f>'Аксессуары (2)'!B373*1.3*($K$2/100+1)</f>
        <v>588.16543500000012</v>
      </c>
      <c r="C373" s="737">
        <f>'Аксессуары (2)'!C373*1.3*($K$2/100+1)</f>
        <v>653.51715000000002</v>
      </c>
      <c r="D373" s="737">
        <f>'Аксессуары (2)'!D373*1.3*($K$2/100+1)</f>
        <v>718.86886500000014</v>
      </c>
      <c r="E373" s="737">
        <f>'Аксессуары (2)'!E373*1.6*($K$2/100+1)</f>
        <v>965.19456000000002</v>
      </c>
      <c r="F373" s="737">
        <f>'Аксессуары (2)'!F373*1.6*($K$2/100+1)</f>
        <v>1061.7140160000001</v>
      </c>
      <c r="G373" s="737">
        <f>'Аксессуары (2)'!G373*1.6*($K$2/100+1)</f>
        <v>1158.2334719999999</v>
      </c>
      <c r="H373" s="740">
        <f>'Аксессуары (2)'!H373*1.8*($K$2/100+1)</f>
        <v>1809.7398000000001</v>
      </c>
      <c r="I373" s="740">
        <f>'Аксессуары (2)'!J373*1.5*($K$2/100+1)</f>
        <v>2262.1747499999997</v>
      </c>
      <c r="J373" s="741">
        <f>'Аксессуары (2)'!J373*1.8*($K$2/100+1)</f>
        <v>2714.6097</v>
      </c>
    </row>
    <row r="374" spans="1:10" ht="14.95" customHeight="1">
      <c r="A374" s="414" t="s">
        <v>2083</v>
      </c>
      <c r="B374" s="737">
        <f>'Аксессуары (2)'!B374*1.3*($K$2/100+1)</f>
        <v>611.1789255000001</v>
      </c>
      <c r="C374" s="737">
        <f>'Аксессуары (2)'!C374*1.3*($K$2/100+1)</f>
        <v>679.08769500000005</v>
      </c>
      <c r="D374" s="737">
        <f>'Аксессуары (2)'!D374*1.3*($K$2/100+1)</f>
        <v>746.9964645</v>
      </c>
      <c r="E374" s="737">
        <f>'Аксессуары (2)'!E374*1.6*($K$2/100+1)</f>
        <v>1002.960288</v>
      </c>
      <c r="F374" s="737">
        <f>'Аксессуары (2)'!F374*1.6*($K$2/100+1)</f>
        <v>1103.2563168000001</v>
      </c>
      <c r="G374" s="737">
        <f>'Аксессуары (2)'!G374*1.6*($K$2/100+1)</f>
        <v>1203.5523455999999</v>
      </c>
      <c r="H374" s="740">
        <f>'Аксессуары (2)'!H374*1.8*($K$2/100+1)</f>
        <v>1880.5505400000002</v>
      </c>
      <c r="I374" s="740">
        <f>'Аксессуары (2)'!J374*1.5*($K$2/100+1)</f>
        <v>2350.6881749999998</v>
      </c>
      <c r="J374" s="741">
        <f>'Аксессуары (2)'!J374*1.8*($K$2/100+1)</f>
        <v>2820.8258099999998</v>
      </c>
    </row>
    <row r="375" spans="1:10" ht="14.95" customHeight="1">
      <c r="A375" s="414" t="s">
        <v>2084</v>
      </c>
      <c r="B375" s="737">
        <f>'Аксессуары (2)'!B375*1.3*($K$2/100+1)</f>
        <v>642.62483999999995</v>
      </c>
      <c r="C375" s="737">
        <f>'Аксессуары (2)'!C375*1.3*($K$2/100+1)</f>
        <v>714.02760000000001</v>
      </c>
      <c r="D375" s="737">
        <f>'Аксессуары (2)'!D375*1.3*($K$2/100+1)</f>
        <v>785.43036000000006</v>
      </c>
      <c r="E375" s="737">
        <f>'Аксессуары (2)'!E375*1.6*($K$2/100+1)</f>
        <v>1054.56384</v>
      </c>
      <c r="F375" s="737">
        <f>'Аксессуары (2)'!F375*1.6*($K$2/100+1)</f>
        <v>1160.0202239999999</v>
      </c>
      <c r="G375" s="737">
        <f>'Аксессуары (2)'!G375*1.6*($K$2/100+1)</f>
        <v>1265.4766079999999</v>
      </c>
      <c r="H375" s="740">
        <f>'Аксессуары (2)'!H375*1.8*($K$2/100+1)</f>
        <v>1977.3071999999997</v>
      </c>
      <c r="I375" s="740">
        <f>'Аксессуары (2)'!J375*1.5*($K$2/100+1)</f>
        <v>2471.634</v>
      </c>
      <c r="J375" s="741">
        <f>'Аксессуары (2)'!J375*1.8*($K$2/100+1)</f>
        <v>2965.9607999999998</v>
      </c>
    </row>
    <row r="376" spans="1:10" ht="14.95" customHeight="1">
      <c r="A376" s="414" t="s">
        <v>2085</v>
      </c>
      <c r="B376" s="737">
        <f>'Аксессуары (2)'!B376*1.3*($K$2/100+1)</f>
        <v>722.55719249999993</v>
      </c>
      <c r="C376" s="737">
        <f>'Аксессуары (2)'!C376*1.3*($K$2/100+1)</f>
        <v>802.84132499999987</v>
      </c>
      <c r="D376" s="737">
        <f>'Аксессуары (2)'!D376*1.3*($K$2/100+1)</f>
        <v>883.12545750000004</v>
      </c>
      <c r="E376" s="737">
        <f>'Аксессуары (2)'!E376*1.6*($K$2/100+1)</f>
        <v>1185.7348799999997</v>
      </c>
      <c r="F376" s="737">
        <f>'Аксессуары (2)'!F376*1.6*($K$2/100+1)</f>
        <v>1304.308368</v>
      </c>
      <c r="G376" s="737">
        <f>'Аксессуары (2)'!G376*1.6*($K$2/100+1)</f>
        <v>1422.8818559999997</v>
      </c>
      <c r="H376" s="740">
        <f>'Аксессуары (2)'!H376*1.8*($K$2/100+1)</f>
        <v>2223.2529</v>
      </c>
      <c r="I376" s="740">
        <f>'Аксессуары (2)'!J376*1.5*($K$2/100+1)</f>
        <v>2779.0661249999998</v>
      </c>
      <c r="J376" s="741">
        <f>'Аксессуары (2)'!J376*1.8*($K$2/100+1)</f>
        <v>3334.8793500000002</v>
      </c>
    </row>
    <row r="377" spans="1:10" ht="14.95" customHeight="1">
      <c r="A377" s="414" t="s">
        <v>2086</v>
      </c>
      <c r="B377" s="737">
        <f>'Аксессуары (2)'!B377*1.3*($K$2/100+1)</f>
        <v>757.69229250000001</v>
      </c>
      <c r="C377" s="737">
        <f>'Аксессуары (2)'!C377*1.3*($K$2/100+1)</f>
        <v>841.88032500000008</v>
      </c>
      <c r="D377" s="737">
        <f>'Аксессуары (2)'!D377*1.3*($K$2/100+1)</f>
        <v>926.06835750000016</v>
      </c>
      <c r="E377" s="737">
        <f>'Аксессуары (2)'!E377*1.6*($K$2/100+1)</f>
        <v>1243.39248</v>
      </c>
      <c r="F377" s="737">
        <f>'Аксессуары (2)'!F377*1.6*($K$2/100+1)</f>
        <v>1367.731728</v>
      </c>
      <c r="G377" s="737">
        <f>'Аксессуары (2)'!G377*1.6*($K$2/100+1)</f>
        <v>1492.0709759999997</v>
      </c>
      <c r="H377" s="740">
        <f>'Аксессуары (2)'!H377*1.8*($K$2/100+1)</f>
        <v>2331.3609000000001</v>
      </c>
      <c r="I377" s="740">
        <f>'Аксессуары (2)'!J377*1.5*($K$2/100+1)</f>
        <v>2914.2011249999996</v>
      </c>
      <c r="J377" s="741">
        <f>'Аксессуары (2)'!J377*1.8*($K$2/100+1)</f>
        <v>3497.0413499999995</v>
      </c>
    </row>
    <row r="378" spans="1:10" ht="14.95" customHeight="1">
      <c r="A378" s="414" t="s">
        <v>2087</v>
      </c>
      <c r="B378" s="737">
        <f>'Аксессуары (2)'!B378*1.3*($K$2/100+1)</f>
        <v>665.28697949999992</v>
      </c>
      <c r="C378" s="737">
        <f>'Аксессуары (2)'!C378*1.3*($K$2/100+1)</f>
        <v>739.20775499999991</v>
      </c>
      <c r="D378" s="737">
        <f>'Аксессуары (2)'!D378*1.3*($K$2/100+1)</f>
        <v>813.1285304999999</v>
      </c>
      <c r="E378" s="737">
        <f>'Аксессуары (2)'!E378*1.6*($K$2/100+1)</f>
        <v>1091.7529919999997</v>
      </c>
      <c r="F378" s="737">
        <f>'Аксессуары (2)'!F378*1.6*($K$2/100+1)</f>
        <v>1200.9282911999999</v>
      </c>
      <c r="G378" s="737">
        <f>'Аксессуары (2)'!G378*1.6*($K$2/100+1)</f>
        <v>1310.1035903999998</v>
      </c>
      <c r="H378" s="740">
        <f>'Аксессуары (2)'!H378*1.8*($K$2/100+1)</f>
        <v>2047.0368599999997</v>
      </c>
      <c r="I378" s="740">
        <f>'Аксессуары (2)'!J378*1.5*($K$2/100+1)</f>
        <v>2558.7960749999997</v>
      </c>
      <c r="J378" s="741">
        <f>'Аксессуары (2)'!J378*1.8*($K$2/100+1)</f>
        <v>3070.5552899999998</v>
      </c>
    </row>
    <row r="379" spans="1:10" ht="14.95" customHeight="1">
      <c r="A379" s="414" t="s">
        <v>2088</v>
      </c>
      <c r="B379" s="737">
        <f>'Аксессуары (2)'!B379*1.3*($K$2/100+1)</f>
        <v>682.15182750000008</v>
      </c>
      <c r="C379" s="737">
        <f>'Аксессуары (2)'!C379*1.3*($K$2/100+1)</f>
        <v>757.94647499999996</v>
      </c>
      <c r="D379" s="737">
        <f>'Аксессуары (2)'!D379*1.3*($K$2/100+1)</f>
        <v>833.74112250000007</v>
      </c>
      <c r="E379" s="737">
        <f>'Аксессуары (2)'!E379*1.6*($K$2/100+1)</f>
        <v>1119.4286400000001</v>
      </c>
      <c r="F379" s="737">
        <f>'Аксессуары (2)'!F379*1.6*($K$2/100+1)</f>
        <v>1231.3715040000002</v>
      </c>
      <c r="G379" s="737">
        <f>'Аксессуары (2)'!G379*1.6*($K$2/100+1)</f>
        <v>1343.3143679999998</v>
      </c>
      <c r="H379" s="740">
        <f>'Аксессуары (2)'!H379*1.8*($K$2/100+1)</f>
        <v>2098.9287000000004</v>
      </c>
      <c r="I379" s="740">
        <f>'Аксессуары (2)'!J379*1.5*($K$2/100+1)</f>
        <v>2623.660875</v>
      </c>
      <c r="J379" s="741">
        <f>'Аксессуары (2)'!J379*1.8*($K$2/100+1)</f>
        <v>3148.3930500000001</v>
      </c>
    </row>
    <row r="380" spans="1:10" ht="14.95" customHeight="1">
      <c r="A380" s="414" t="s">
        <v>2089</v>
      </c>
      <c r="B380" s="737">
        <f>'Аксессуары (2)'!B380*1.3*($K$2/100+1)</f>
        <v>690.93560249999985</v>
      </c>
      <c r="C380" s="737">
        <f>'Аксессуары (2)'!C380*1.3*($K$2/100+1)</f>
        <v>767.7062249999999</v>
      </c>
      <c r="D380" s="737">
        <f>'Аксессуары (2)'!D380*1.3*($K$2/100+1)</f>
        <v>844.47684749999996</v>
      </c>
      <c r="E380" s="737">
        <f>'Аксессуары (2)'!E380*1.6*($K$2/100+1)</f>
        <v>1133.84304</v>
      </c>
      <c r="F380" s="737">
        <f>'Аксессуары (2)'!F380*1.6*($K$2/100+1)</f>
        <v>1247.2273439999999</v>
      </c>
      <c r="G380" s="737">
        <f>'Аксессуары (2)'!G380*1.6*($K$2/100+1)</f>
        <v>1360.6116479999996</v>
      </c>
      <c r="H380" s="740">
        <f>'Аксессуары (2)'!H380*1.8*($K$2/100+1)</f>
        <v>2125.9556999999995</v>
      </c>
      <c r="I380" s="740">
        <f>'Аксессуары (2)'!J380*1.5*($K$2/100+1)</f>
        <v>2657.4446249999996</v>
      </c>
      <c r="J380" s="741">
        <f>'Аксессуары (2)'!J380*1.8*($K$2/100+1)</f>
        <v>3188.9335499999997</v>
      </c>
    </row>
    <row r="381" spans="1:10" ht="14.95" customHeight="1">
      <c r="A381" s="414" t="s">
        <v>2090</v>
      </c>
      <c r="B381" s="737">
        <f>'Аксессуары (2)'!B381*1.3*($K$2/100+1)</f>
        <v>717.46260299999994</v>
      </c>
      <c r="C381" s="737">
        <f>'Аксессуары (2)'!C381*1.3*($K$2/100+1)</f>
        <v>797.18066999999996</v>
      </c>
      <c r="D381" s="737">
        <f>'Аксессуары (2)'!D381*1.3*($K$2/100+1)</f>
        <v>876.89873699999987</v>
      </c>
      <c r="E381" s="737">
        <f>'Аксессуары (2)'!E381*1.6*($K$2/100+1)</f>
        <v>1177.3745279999998</v>
      </c>
      <c r="F381" s="737">
        <f>'Аксессуары (2)'!F381*1.6*($K$2/100+1)</f>
        <v>1295.1119807999999</v>
      </c>
      <c r="G381" s="737">
        <f>'Аксессуары (2)'!G381*1.6*($K$2/100+1)</f>
        <v>1412.8494335999997</v>
      </c>
      <c r="H381" s="740">
        <f>'Аксессуары (2)'!H381*1.8*($K$2/100+1)</f>
        <v>2207.5772399999996</v>
      </c>
      <c r="I381" s="740">
        <f>'Аксессуары (2)'!J381*1.5*($K$2/100+1)</f>
        <v>2759.4715499999993</v>
      </c>
      <c r="J381" s="741">
        <f>'Аксессуары (2)'!J381*1.8*($K$2/100+1)</f>
        <v>3311.3658599999994</v>
      </c>
    </row>
    <row r="382" spans="1:10" ht="14.95" customHeight="1">
      <c r="A382" s="414" t="s">
        <v>2091</v>
      </c>
      <c r="B382" s="737">
        <f>'Аксессуары (2)'!B382*1.3*($K$2/100+1)</f>
        <v>754.53013349999992</v>
      </c>
      <c r="C382" s="737">
        <f>'Аксессуары (2)'!C382*1.3*($K$2/100+1)</f>
        <v>838.36681499999986</v>
      </c>
      <c r="D382" s="737">
        <f>'Аксессуары (2)'!D382*1.3*($K$2/100+1)</f>
        <v>922.20349650000014</v>
      </c>
      <c r="E382" s="737">
        <f>'Аксессуары (2)'!E382*1.6*($K$2/100+1)</f>
        <v>1238.2032959999999</v>
      </c>
      <c r="F382" s="737">
        <f>'Аксессуары (2)'!F382*1.6*($K$2/100+1)</f>
        <v>1362.0236256000001</v>
      </c>
      <c r="G382" s="737">
        <f>'Аксессуары (2)'!G382*1.6*($K$2/100+1)</f>
        <v>1485.8439552</v>
      </c>
      <c r="H382" s="740">
        <f>'Аксессуары (2)'!H382*1.8*($K$2/100+1)</f>
        <v>2321.6311799999999</v>
      </c>
      <c r="I382" s="740">
        <f>'Аксессуары (2)'!J382*1.5*($K$2/100+1)</f>
        <v>2902.0389749999995</v>
      </c>
      <c r="J382" s="741">
        <f>'Аксессуары (2)'!J382*1.8*($K$2/100+1)</f>
        <v>3482.44677</v>
      </c>
    </row>
    <row r="383" spans="1:10" ht="14.95" customHeight="1">
      <c r="A383" s="414" t="s">
        <v>2092</v>
      </c>
      <c r="B383" s="737">
        <f>'Аксессуары (2)'!B383*1.3*($K$2/100+1)</f>
        <v>789.6652335</v>
      </c>
      <c r="C383" s="737">
        <f>'Аксессуары (2)'!C383*1.3*($K$2/100+1)</f>
        <v>877.40581499999985</v>
      </c>
      <c r="D383" s="737">
        <f>'Аксессуары (2)'!D383*1.3*($K$2/100+1)</f>
        <v>965.14639650000004</v>
      </c>
      <c r="E383" s="737">
        <f>'Аксессуары (2)'!E383*1.6*($K$2/100+1)</f>
        <v>1295.8608959999999</v>
      </c>
      <c r="F383" s="737">
        <f>'Аксессуары (2)'!F383*1.6*($K$2/100+1)</f>
        <v>1425.4469856000001</v>
      </c>
      <c r="G383" s="737">
        <f>'Аксессуары (2)'!G383*1.6*($K$2/100+1)</f>
        <v>1555.0330751999998</v>
      </c>
      <c r="H383" s="740">
        <f>'Аксессуары (2)'!H383*1.8*($K$2/100+1)</f>
        <v>2429.7391799999996</v>
      </c>
      <c r="I383" s="740">
        <f>'Аксессуары (2)'!J383*1.5*($K$2/100+1)</f>
        <v>3037.1739749999997</v>
      </c>
      <c r="J383" s="741">
        <f>'Аксессуары (2)'!J383*1.8*($K$2/100+1)</f>
        <v>3644.6087699999994</v>
      </c>
    </row>
    <row r="384" spans="1:10" ht="14.95" customHeight="1">
      <c r="A384" s="414" t="s">
        <v>2093</v>
      </c>
      <c r="B384" s="737">
        <f>'Аксессуары (2)'!B384*1.3*($K$2/100+1)</f>
        <v>824.80033350000008</v>
      </c>
      <c r="C384" s="737">
        <f>'Аксессуары (2)'!C384*1.3*($K$2/100+1)</f>
        <v>916.44481499999995</v>
      </c>
      <c r="D384" s="737">
        <f>'Аксессуары (2)'!D384*1.3*($K$2/100+1)</f>
        <v>1008.0892965000002</v>
      </c>
      <c r="E384" s="737">
        <f>'Аксессуары (2)'!E384*1.6*($K$2/100+1)</f>
        <v>1353.5184960000001</v>
      </c>
      <c r="F384" s="737">
        <f>'Аксессуары (2)'!F384*1.6*($K$2/100+1)</f>
        <v>1488.8703456000001</v>
      </c>
      <c r="G384" s="737">
        <f>'Аксессуары (2)'!G384*1.6*($K$2/100+1)</f>
        <v>1624.2221952</v>
      </c>
      <c r="H384" s="740">
        <f>'Аксессуары (2)'!H384*1.8*($K$2/100+1)</f>
        <v>2537.8471800000002</v>
      </c>
      <c r="I384" s="740">
        <f>'Аксессуары (2)'!J384*1.5*($K$2/100+1)</f>
        <v>3172.3089749999999</v>
      </c>
      <c r="J384" s="741">
        <f>'Аксессуары (2)'!J384*1.8*($K$2/100+1)</f>
        <v>3806.7707700000001</v>
      </c>
    </row>
    <row r="385" spans="1:10" ht="14.95" customHeight="1">
      <c r="A385" s="414" t="s">
        <v>2094</v>
      </c>
      <c r="B385" s="737">
        <f>'Аксессуары (2)'!B385*1.3*($K$2/100+1)</f>
        <v>781.05713399999991</v>
      </c>
      <c r="C385" s="737">
        <f>'Аксессуары (2)'!C385*1.3*($K$2/100+1)</f>
        <v>867.84125999999992</v>
      </c>
      <c r="D385" s="737">
        <f>'Аксессуары (2)'!D385*1.3*($K$2/100+1)</f>
        <v>954.62538600000016</v>
      </c>
      <c r="E385" s="737">
        <f>'Аксессуары (2)'!E385*1.6*($K$2/100+1)</f>
        <v>1281.7347839999998</v>
      </c>
      <c r="F385" s="737">
        <f>'Аксессуары (2)'!F385*1.6*($K$2/100+1)</f>
        <v>1409.9082624</v>
      </c>
      <c r="G385" s="737">
        <f>'Аксессуары (2)'!G385*1.6*($K$2/100+1)</f>
        <v>1538.0817407999998</v>
      </c>
      <c r="H385" s="740">
        <f>'Аксессуары (2)'!H385*1.8*($K$2/100+1)</f>
        <v>2403.2527199999995</v>
      </c>
      <c r="I385" s="740">
        <f>'Аксессуары (2)'!J385*1.5*($K$2/100+1)</f>
        <v>3004.0658999999996</v>
      </c>
      <c r="J385" s="741">
        <f>'Аксессуары (2)'!J385*1.8*($K$2/100+1)</f>
        <v>3604.8790799999997</v>
      </c>
    </row>
    <row r="386" spans="1:10" ht="14.95" customHeight="1">
      <c r="A386" s="414" t="s">
        <v>2095</v>
      </c>
      <c r="B386" s="737">
        <f>'Аксессуары (2)'!B386*1.3*($K$2/100+1)</f>
        <v>800.90846549999992</v>
      </c>
      <c r="C386" s="737">
        <f>'Аксессуары (2)'!C386*1.3*($K$2/100+1)</f>
        <v>889.89829499999996</v>
      </c>
      <c r="D386" s="737">
        <f>'Аксессуары (2)'!D386*1.3*($K$2/100+1)</f>
        <v>978.8881245</v>
      </c>
      <c r="E386" s="737">
        <f>'Аксессуары (2)'!E386*1.6*($K$2/100+1)</f>
        <v>1314.311328</v>
      </c>
      <c r="F386" s="737">
        <f>'Аксессуары (2)'!F386*1.6*($K$2/100+1)</f>
        <v>1445.7424608000001</v>
      </c>
      <c r="G386" s="737">
        <f>'Аксессуары (2)'!G386*1.6*($K$2/100+1)</f>
        <v>1577.1735935999998</v>
      </c>
      <c r="H386" s="740">
        <f>'Аксессуары (2)'!H386*1.8*($K$2/100+1)</f>
        <v>2464.3337399999996</v>
      </c>
      <c r="I386" s="740">
        <f>'Аксессуары (2)'!J386*1.5*($K$2/100+1)</f>
        <v>3080.4171749999996</v>
      </c>
      <c r="J386" s="741">
        <f>'Аксессуары (2)'!J386*1.8*($K$2/100+1)</f>
        <v>3696.5006099999996</v>
      </c>
    </row>
    <row r="387" spans="1:10" ht="14.95" customHeight="1">
      <c r="A387" s="414" t="s">
        <v>2096</v>
      </c>
      <c r="B387" s="737">
        <f>'Аксессуары (2)'!B387*1.3*($K$2/100+1)</f>
        <v>818.47601550000002</v>
      </c>
      <c r="C387" s="737">
        <f>'Аксессуары (2)'!C387*1.3*($K$2/100+1)</f>
        <v>909.41779500000007</v>
      </c>
      <c r="D387" s="737">
        <f>'Аксессуары (2)'!D387*1.3*($K$2/100+1)</f>
        <v>1000.3595745</v>
      </c>
      <c r="E387" s="737">
        <f>'Аксессуары (2)'!E387*1.6*($K$2/100+1)</f>
        <v>1343.140128</v>
      </c>
      <c r="F387" s="737">
        <f>'Аксессуары (2)'!F387*1.6*($K$2/100+1)</f>
        <v>1477.4541407999998</v>
      </c>
      <c r="G387" s="737">
        <f>'Аксессуары (2)'!G387*1.6*($K$2/100+1)</f>
        <v>1611.7681536</v>
      </c>
      <c r="H387" s="740">
        <f>'Аксессуары (2)'!H387*1.8*($K$2/100+1)</f>
        <v>2518.3877400000001</v>
      </c>
      <c r="I387" s="740">
        <f>'Аксессуары (2)'!J387*1.5*($K$2/100+1)</f>
        <v>3147.9846749999997</v>
      </c>
      <c r="J387" s="741">
        <f>'Аксессуары (2)'!J387*1.8*($K$2/100+1)</f>
        <v>3777.5816100000002</v>
      </c>
    </row>
    <row r="388" spans="1:10" ht="14.95" customHeight="1">
      <c r="A388" s="414" t="s">
        <v>2097</v>
      </c>
      <c r="B388" s="737">
        <f>'Аксессуары (2)'!B388*1.3*($K$2/100+1)</f>
        <v>841.6651814999999</v>
      </c>
      <c r="C388" s="737">
        <f>'Аксессуары (2)'!C388*1.3*($K$2/100+1)</f>
        <v>935.18353499999989</v>
      </c>
      <c r="D388" s="737">
        <f>'Аксессуары (2)'!D388*1.3*($K$2/100+1)</f>
        <v>1028.7018885</v>
      </c>
      <c r="E388" s="737">
        <f>'Аксессуары (2)'!E388*1.6*($K$2/100+1)</f>
        <v>1381.1941439999998</v>
      </c>
      <c r="F388" s="737">
        <f>'Аксессуары (2)'!F388*1.6*($K$2/100+1)</f>
        <v>1519.3135583999999</v>
      </c>
      <c r="G388" s="737">
        <f>'Аксессуары (2)'!G388*1.6*($K$2/100+1)</f>
        <v>1657.4329727999996</v>
      </c>
      <c r="H388" s="740">
        <f>'Аксессуары (2)'!H388*1.8*($K$2/100+1)</f>
        <v>2589.7390199999995</v>
      </c>
      <c r="I388" s="740">
        <f>'Аксессуары (2)'!J388*1.5*($K$2/100+1)</f>
        <v>3237.1737749999998</v>
      </c>
      <c r="J388" s="741">
        <f>'Аксессуары (2)'!J388*1.8*($K$2/100+1)</f>
        <v>3884.6085299999995</v>
      </c>
    </row>
    <row r="389" spans="1:10" ht="14.95" customHeight="1">
      <c r="A389" s="414" t="s">
        <v>2098</v>
      </c>
      <c r="B389" s="737">
        <f>'Аксессуары (2)'!B389*1.3*($K$2/100+1)</f>
        <v>884.35432800000012</v>
      </c>
      <c r="C389" s="737">
        <f>'Аксессуары (2)'!C389*1.3*($K$2/100+1)</f>
        <v>982.61591999999996</v>
      </c>
      <c r="D389" s="737">
        <f>'Аксессуары (2)'!D389*1.3*($K$2/100+1)</f>
        <v>1080.877512</v>
      </c>
      <c r="E389" s="737">
        <f>'Аксессуары (2)'!E389*1.6*($K$2/100+1)</f>
        <v>1451.248128</v>
      </c>
      <c r="F389" s="737">
        <f>'Аксессуары (2)'!F389*1.6*($K$2/100+1)</f>
        <v>1596.3729408000002</v>
      </c>
      <c r="G389" s="737">
        <f>'Аксессуары (2)'!G389*1.6*($K$2/100+1)</f>
        <v>1741.4977535999999</v>
      </c>
      <c r="H389" s="740">
        <f>'Аксессуары (2)'!H389*1.8*($K$2/100+1)</f>
        <v>2721.09024</v>
      </c>
      <c r="I389" s="740">
        <f>'Аксессуары (2)'!J389*1.5*($K$2/100+1)</f>
        <v>3401.3627999999994</v>
      </c>
      <c r="J389" s="741">
        <f>'Аксессуары (2)'!J389*1.8*($K$2/100+1)</f>
        <v>4081.6353600000002</v>
      </c>
    </row>
    <row r="390" spans="1:10" ht="14.95" customHeight="1">
      <c r="A390" s="414" t="s">
        <v>2099</v>
      </c>
      <c r="B390" s="737">
        <f>'Аксессуары (2)'!B390*1.3*($K$2/100+1)</f>
        <v>919.48942799999986</v>
      </c>
      <c r="C390" s="737">
        <f>'Аксессуары (2)'!C390*1.3*($K$2/100+1)</f>
        <v>1021.6549199999997</v>
      </c>
      <c r="D390" s="737">
        <f>'Аксессуары (2)'!D390*1.3*($K$2/100+1)</f>
        <v>1123.8204119999998</v>
      </c>
      <c r="E390" s="737">
        <f>'Аксессуары (2)'!E390*1.6*($K$2/100+1)</f>
        <v>1508.9057279999997</v>
      </c>
      <c r="F390" s="737">
        <f>'Аксессуары (2)'!F390*1.6*($K$2/100+1)</f>
        <v>1659.7963007999999</v>
      </c>
      <c r="G390" s="737">
        <f>'Аксессуары (2)'!G390*1.6*($K$2/100+1)</f>
        <v>1810.6868735999994</v>
      </c>
      <c r="H390" s="740">
        <f>'Аксессуары (2)'!H390*1.8*($K$2/100+1)</f>
        <v>2829.1982399999997</v>
      </c>
      <c r="I390" s="740">
        <f>'Аксессуары (2)'!J390*1.5*($K$2/100+1)</f>
        <v>3536.4977999999996</v>
      </c>
      <c r="J390" s="741">
        <f>'Аксессуары (2)'!J390*1.8*($K$2/100+1)</f>
        <v>4243.7973599999996</v>
      </c>
    </row>
    <row r="391" spans="1:10" ht="14.95" customHeight="1" thickBot="1">
      <c r="A391" s="415" t="s">
        <v>2100</v>
      </c>
      <c r="B391" s="737">
        <f>'Аксессуары (2)'!B391*1.3*($K$2/100+1)</f>
        <v>954.62452800000005</v>
      </c>
      <c r="C391" s="737">
        <f>'Аксессуары (2)'!C391*1.3*($K$2/100+1)</f>
        <v>1060.6939199999999</v>
      </c>
      <c r="D391" s="737">
        <f>'Аксессуары (2)'!D391*1.3*($K$2/100+1)</f>
        <v>1166.7633119999998</v>
      </c>
      <c r="E391" s="737">
        <f>'Аксессуары (2)'!E391*1.6*($K$2/100+1)</f>
        <v>1566.5633279999997</v>
      </c>
      <c r="F391" s="737">
        <f>'Аксессуары (2)'!F391*1.6*($K$2/100+1)</f>
        <v>1723.2196608000002</v>
      </c>
      <c r="G391" s="737">
        <f>'Аксессуары (2)'!G391*1.6*($K$2/100+1)</f>
        <v>1879.8759935999997</v>
      </c>
      <c r="H391" s="742">
        <f>'Аксессуары (2)'!H391*1.8*($K$2/100+1)</f>
        <v>2937.3062399999999</v>
      </c>
      <c r="I391" s="742">
        <f>'Аксессуары (2)'!J391*1.5*($K$2/100+1)</f>
        <v>3671.6327999999999</v>
      </c>
      <c r="J391" s="743">
        <f>'Аксессуары (2)'!J391*1.8*($K$2/100+1)</f>
        <v>4405.9593599999989</v>
      </c>
    </row>
    <row r="392" spans="1:10" s="254" customFormat="1" ht="14.95" customHeight="1" thickBot="1">
      <c r="A392" s="615" t="s">
        <v>2813</v>
      </c>
      <c r="B392" s="842"/>
      <c r="C392" s="843"/>
      <c r="D392" s="843"/>
      <c r="E392" s="843"/>
      <c r="F392" s="843"/>
      <c r="G392" s="843"/>
      <c r="H392" s="843"/>
      <c r="I392" s="843"/>
      <c r="J392" s="844"/>
    </row>
    <row r="393" spans="1:10" ht="14.95" customHeight="1">
      <c r="A393" s="423" t="s">
        <v>2101</v>
      </c>
      <c r="B393" s="737">
        <f>'Аксессуары (2)'!B393*1.3*($K$2/100+1)</f>
        <v>105.31842749999998</v>
      </c>
      <c r="C393" s="737">
        <f>'Аксессуары (2)'!C393*1.3*($K$2/100+1)</f>
        <v>117.020475</v>
      </c>
      <c r="D393" s="737">
        <f>'Аксессуары (2)'!D393*1.3*($K$2/100+1)</f>
        <v>128.72252250000003</v>
      </c>
      <c r="E393" s="737">
        <f>'Аксессуары (2)'!E393*1.6*($K$2/100+1)</f>
        <v>172.83023999999997</v>
      </c>
      <c r="F393" s="737">
        <f>'Аксессуары (2)'!F393*1.6*($K$2/100+1)</f>
        <v>190.11326400000002</v>
      </c>
      <c r="G393" s="737">
        <f>'Аксессуары (2)'!G393*1.6*($K$2/100+1)</f>
        <v>207.39628799999997</v>
      </c>
      <c r="H393" s="738">
        <f>'Аксессуары (2)'!H393*1.8*($K$2/100+1)</f>
        <v>324.05669999999998</v>
      </c>
      <c r="I393" s="738">
        <f>'Аксессуары (2)'!J393*1.48*($K$2/100+1)</f>
        <v>399.66992999999997</v>
      </c>
      <c r="J393" s="739">
        <f>'Аксессуары (2)'!J393*1.8*($K$2/100+1)</f>
        <v>486.08504999999997</v>
      </c>
    </row>
    <row r="394" spans="1:10" ht="14.95" customHeight="1">
      <c r="A394" s="414" t="s">
        <v>2102</v>
      </c>
      <c r="B394" s="737">
        <f>'Аксессуары (2)'!B394*1.3*($K$2/100+1)</f>
        <v>108.12923549999999</v>
      </c>
      <c r="C394" s="737">
        <f>'Аксессуары (2)'!C394*1.3*($K$2/100+1)</f>
        <v>120.143595</v>
      </c>
      <c r="D394" s="737">
        <f>'Аксессуары (2)'!D394*1.3*($K$2/100+1)</f>
        <v>132.15795449999999</v>
      </c>
      <c r="E394" s="737">
        <f>'Аксессуары (2)'!E394*1.6*($K$2/100+1)</f>
        <v>177.44284799999994</v>
      </c>
      <c r="F394" s="737">
        <f>'Аксессуары (2)'!F394*1.6*($K$2/100+1)</f>
        <v>195.1871328</v>
      </c>
      <c r="G394" s="737">
        <f>'Аксессуары (2)'!G394*1.6*($K$2/100+1)</f>
        <v>212.93141759999997</v>
      </c>
      <c r="H394" s="740">
        <f>'Аксессуары (2)'!H394*1.8*($K$2/100+1)</f>
        <v>332.70533999999998</v>
      </c>
      <c r="I394" s="740">
        <f>'Аксессуары (2)'!J394*1.48*($K$2/100+1)</f>
        <v>410.33658599999995</v>
      </c>
      <c r="J394" s="741">
        <f>'Аксессуары (2)'!J394*1.8*($K$2/100+1)</f>
        <v>499.05800999999991</v>
      </c>
    </row>
    <row r="395" spans="1:10" ht="14.95" customHeight="1">
      <c r="A395" s="414" t="s">
        <v>2103</v>
      </c>
      <c r="B395" s="737">
        <f>'Аксессуары (2)'!B395*1.3*($K$2/100+1)</f>
        <v>120.60219599999998</v>
      </c>
      <c r="C395" s="737">
        <f>'Аксессуары (2)'!C395*1.3*($K$2/100+1)</f>
        <v>134.00243999999998</v>
      </c>
      <c r="D395" s="737">
        <f>'Аксессуары (2)'!D395*1.3*($K$2/100+1)</f>
        <v>147.40268399999999</v>
      </c>
      <c r="E395" s="737">
        <f>'Аксессуары (2)'!E395*1.6*($K$2/100+1)</f>
        <v>197.91129599999996</v>
      </c>
      <c r="F395" s="737">
        <f>'Аксессуары (2)'!F395*1.6*($K$2/100+1)</f>
        <v>217.7024256</v>
      </c>
      <c r="G395" s="737">
        <f>'Аксессуары (2)'!G395*1.6*($K$2/100+1)</f>
        <v>237.49355519999997</v>
      </c>
      <c r="H395" s="740">
        <f>'Аксессуары (2)'!H395*1.8*($K$2/100+1)</f>
        <v>371.08367999999996</v>
      </c>
      <c r="I395" s="740">
        <f>'Аксессуары (2)'!J395*1.48*($K$2/100+1)</f>
        <v>457.66987199999994</v>
      </c>
      <c r="J395" s="741">
        <f>'Аксессуары (2)'!J395*1.8*($K$2/100+1)</f>
        <v>556.62551999999994</v>
      </c>
    </row>
    <row r="396" spans="1:10" ht="14.95" customHeight="1">
      <c r="A396" s="414" t="s">
        <v>2104</v>
      </c>
      <c r="B396" s="737">
        <f>'Аксессуары (2)'!B396*1.3*($K$2/100+1)</f>
        <v>140.10217650000001</v>
      </c>
      <c r="C396" s="737">
        <f>'Аксессуары (2)'!C396*1.3*($K$2/100+1)</f>
        <v>155.669085</v>
      </c>
      <c r="D396" s="737">
        <f>'Аксессуары (2)'!D396*1.3*($K$2/100+1)</f>
        <v>171.23599350000003</v>
      </c>
      <c r="E396" s="737">
        <f>'Аксессуары (2)'!E396*1.6*($K$2/100+1)</f>
        <v>229.91126400000002</v>
      </c>
      <c r="F396" s="737">
        <f>'Аксессуары (2)'!F396*1.6*($K$2/100+1)</f>
        <v>252.9023904</v>
      </c>
      <c r="G396" s="737">
        <f>'Аксессуары (2)'!G396*1.6*($K$2/100+1)</f>
        <v>275.89351680000004</v>
      </c>
      <c r="H396" s="740">
        <f>'Аксессуары (2)'!H396*1.8*($K$2/100+1)</f>
        <v>431.08362</v>
      </c>
      <c r="I396" s="740">
        <f>'Аксессуары (2)'!J396*1.48*($K$2/100+1)</f>
        <v>531.66979800000001</v>
      </c>
      <c r="J396" s="741">
        <f>'Аксессуары (2)'!J396*1.8*($K$2/100+1)</f>
        <v>646.62543000000005</v>
      </c>
    </row>
    <row r="397" spans="1:10" ht="14.95" customHeight="1">
      <c r="A397" s="414" t="s">
        <v>2105</v>
      </c>
      <c r="B397" s="737">
        <f>'Аксессуары (2)'!B397*1.3*($K$2/100+1)</f>
        <v>164.69674649999999</v>
      </c>
      <c r="C397" s="737">
        <f>'Аксессуары (2)'!C397*1.3*($K$2/100+1)</f>
        <v>182.996385</v>
      </c>
      <c r="D397" s="737">
        <f>'Аксессуары (2)'!D397*1.3*($K$2/100+1)</f>
        <v>201.29602349999999</v>
      </c>
      <c r="E397" s="737">
        <f>'Аксессуары (2)'!E397*1.6*($K$2/100+1)</f>
        <v>270.27158400000002</v>
      </c>
      <c r="F397" s="737">
        <f>'Аксессуары (2)'!F397*1.6*($K$2/100+1)</f>
        <v>297.29874239999998</v>
      </c>
      <c r="G397" s="737">
        <f>'Аксессуары (2)'!G397*1.6*($K$2/100+1)</f>
        <v>324.32590079999994</v>
      </c>
      <c r="H397" s="740">
        <f>'Аксессуары (2)'!H397*1.8*($K$2/100+1)</f>
        <v>506.75921999999997</v>
      </c>
      <c r="I397" s="740">
        <f>'Аксессуары (2)'!J397*1.48*($K$2/100+1)</f>
        <v>625.00303800000006</v>
      </c>
      <c r="J397" s="741">
        <f>'Аксессуары (2)'!J397*1.8*($K$2/100+1)</f>
        <v>760.1388300000001</v>
      </c>
    </row>
    <row r="398" spans="1:10" ht="14.95" customHeight="1">
      <c r="A398" s="414" t="s">
        <v>2106</v>
      </c>
      <c r="B398" s="737">
        <f>'Аксессуары (2)'!B398*1.3*($K$2/100+1)</f>
        <v>193.50752850000001</v>
      </c>
      <c r="C398" s="737">
        <f>'Аксессуары (2)'!C398*1.3*($K$2/100+1)</f>
        <v>215.00836499999997</v>
      </c>
      <c r="D398" s="737">
        <f>'Аксессуары (2)'!D398*1.3*($K$2/100+1)</f>
        <v>236.50920149999999</v>
      </c>
      <c r="E398" s="737">
        <f>'Аксессуары (2)'!E398*1.6*($K$2/100+1)</f>
        <v>317.550816</v>
      </c>
      <c r="F398" s="737">
        <f>'Аксессуары (2)'!F398*1.6*($K$2/100+1)</f>
        <v>349.30589759999998</v>
      </c>
      <c r="G398" s="737">
        <f>'Аксессуары (2)'!G398*1.6*($K$2/100+1)</f>
        <v>381.06097919999996</v>
      </c>
      <c r="H398" s="740">
        <f>'Аксессуары (2)'!H398*1.8*($K$2/100+1)</f>
        <v>595.40778</v>
      </c>
      <c r="I398" s="740">
        <f>'Аксессуары (2)'!J398*1.48*($K$2/100+1)</f>
        <v>734.33626199999992</v>
      </c>
      <c r="J398" s="741">
        <f>'Аксессуары (2)'!J398*1.8*($K$2/100+1)</f>
        <v>893.11167</v>
      </c>
    </row>
    <row r="399" spans="1:10" ht="14.95" customHeight="1">
      <c r="A399" s="414" t="s">
        <v>2107</v>
      </c>
      <c r="B399" s="737">
        <f>'Аксессуары (2)'!B399*1.3*($K$2/100+1)</f>
        <v>226.53452250000001</v>
      </c>
      <c r="C399" s="737">
        <f>'Аксессуары (2)'!C399*1.3*($K$2/100+1)</f>
        <v>251.70502499999998</v>
      </c>
      <c r="D399" s="737">
        <f>'Аксессуары (2)'!D399*1.3*($K$2/100+1)</f>
        <v>276.87552749999998</v>
      </c>
      <c r="E399" s="737">
        <f>'Аксессуары (2)'!E399*1.6*($K$2/100+1)</f>
        <v>371.74896000000001</v>
      </c>
      <c r="F399" s="737">
        <f>'Аксессуары (2)'!F399*1.6*($K$2/100+1)</f>
        <v>408.923856</v>
      </c>
      <c r="G399" s="737">
        <f>'Аксессуары (2)'!G399*1.6*($K$2/100+1)</f>
        <v>446.09875199999999</v>
      </c>
      <c r="H399" s="740">
        <f>'Аксессуары (2)'!H399*1.8*($K$2/100+1)</f>
        <v>697.02929999999992</v>
      </c>
      <c r="I399" s="740">
        <f>'Аксессуары (2)'!J399*1.48*($K$2/100+1)</f>
        <v>859.66946999999993</v>
      </c>
      <c r="J399" s="741">
        <f>'Аксессуары (2)'!J399*1.8*($K$2/100+1)</f>
        <v>1045.54395</v>
      </c>
    </row>
    <row r="400" spans="1:10" ht="14.95" customHeight="1">
      <c r="A400" s="414" t="s">
        <v>2108</v>
      </c>
      <c r="B400" s="737">
        <f>'Аксессуары (2)'!B400*1.3*($K$2/100+1)</f>
        <v>306.46687500000002</v>
      </c>
      <c r="C400" s="737">
        <f>'Аксессуары (2)'!C400*1.3*($K$2/100+1)</f>
        <v>340.51874999999995</v>
      </c>
      <c r="D400" s="737">
        <f>'Аксессуары (2)'!D400*1.3*($K$2/100+1)</f>
        <v>374.57062500000001</v>
      </c>
      <c r="E400" s="737">
        <f>'Аксессуары (2)'!E400*1.6*($K$2/100+1)</f>
        <v>502.92</v>
      </c>
      <c r="F400" s="737">
        <f>'Аксессуары (2)'!F400*1.6*($K$2/100+1)</f>
        <v>553.21199999999988</v>
      </c>
      <c r="G400" s="737">
        <f>'Аксессуары (2)'!G400*1.6*($K$2/100+1)</f>
        <v>603.50399999999991</v>
      </c>
      <c r="H400" s="740">
        <f>'Аксессуары (2)'!H400*1.8*($K$2/100+1)</f>
        <v>942.97499999999991</v>
      </c>
      <c r="I400" s="740">
        <f>'Аксессуары (2)'!J400*1.48*($K$2/100+1)</f>
        <v>1163.0025000000001</v>
      </c>
      <c r="J400" s="741">
        <f>'Аксессуары (2)'!J400*1.8*($K$2/100+1)</f>
        <v>1414.4624999999999</v>
      </c>
    </row>
    <row r="401" spans="1:10" ht="14.95" customHeight="1" thickBot="1">
      <c r="A401" s="415" t="s">
        <v>2109</v>
      </c>
      <c r="B401" s="737">
        <f>'Аксессуары (2)'!B401*1.3*($K$2/100+1)</f>
        <v>404.14245300000005</v>
      </c>
      <c r="C401" s="737">
        <f>'Аксессуары (2)'!C401*1.3*($K$2/100+1)</f>
        <v>449.04716999999999</v>
      </c>
      <c r="D401" s="737">
        <f>'Аксессуары (2)'!D401*1.3*($K$2/100+1)</f>
        <v>493.95188700000006</v>
      </c>
      <c r="E401" s="737">
        <f>'Аксессуары (2)'!E401*1.6*($K$2/100+1)</f>
        <v>663.20812799999999</v>
      </c>
      <c r="F401" s="737">
        <f>'Аксессуары (2)'!F401*1.6*($K$2/100+1)</f>
        <v>729.5289408000001</v>
      </c>
      <c r="G401" s="737">
        <f>'Аксессуары (2)'!G401*1.6*($K$2/100+1)</f>
        <v>795.84975359999999</v>
      </c>
      <c r="H401" s="742">
        <f>'Аксессуары (2)'!H401*1.8*($K$2/100+1)</f>
        <v>1243.5152399999999</v>
      </c>
      <c r="I401" s="742">
        <f>'Аксессуары (2)'!J401*1.48*($K$2/100+1)</f>
        <v>1533.6687959999999</v>
      </c>
      <c r="J401" s="743">
        <f>'Аксессуары (2)'!J401*1.8*($K$2/100+1)</f>
        <v>1865.2728599999998</v>
      </c>
    </row>
    <row r="402" spans="1:10" s="254" customFormat="1" ht="14.95" customHeight="1" thickBot="1">
      <c r="A402" s="615" t="s">
        <v>2110</v>
      </c>
      <c r="B402" s="842"/>
      <c r="C402" s="843"/>
      <c r="D402" s="843"/>
      <c r="E402" s="843"/>
      <c r="F402" s="843"/>
      <c r="G402" s="843"/>
      <c r="H402" s="843"/>
      <c r="I402" s="843"/>
      <c r="J402" s="844"/>
    </row>
    <row r="403" spans="1:10" ht="14.95" customHeight="1">
      <c r="A403" s="423" t="s">
        <v>2111</v>
      </c>
      <c r="B403" s="737">
        <f>'Аксессуары (2)'!B403*1.3*($K$2/100+1)</f>
        <v>434.58643799999999</v>
      </c>
      <c r="C403" s="737">
        <f>'Аксессуары (2)'!C403*1.3*($K$2/100+1)</f>
        <v>482.87381999999997</v>
      </c>
      <c r="D403" s="737">
        <f>'Аксессуары (2)'!D403*1.3*($K$2/100+1)</f>
        <v>531.161202</v>
      </c>
      <c r="E403" s="737">
        <f>'Аксессуары (2)'!E403*1.6*($K$2/100+1)</f>
        <v>713.16748799999993</v>
      </c>
      <c r="F403" s="737">
        <f>'Аксессуары (2)'!F403*1.6*($K$2/100+1)</f>
        <v>784.48423679999996</v>
      </c>
      <c r="G403" s="737">
        <f>'Аксессуары (2)'!G403*1.6*($K$2/100+1)</f>
        <v>855.80098559999988</v>
      </c>
      <c r="H403" s="738">
        <f>'Аксессуары (2)'!H403*1.8*($K$2/100+1)</f>
        <v>1337.18904</v>
      </c>
      <c r="I403" s="738">
        <f>'Аксессуары (2)'!J403*1.5*($K$2/100+1)</f>
        <v>1671.4862999999998</v>
      </c>
      <c r="J403" s="739">
        <f>'Аксессуары (2)'!J403*1.8*($K$2/100+1)</f>
        <v>2005.7835599999996</v>
      </c>
    </row>
    <row r="404" spans="1:10" ht="14.95" customHeight="1">
      <c r="A404" s="414" t="s">
        <v>2112</v>
      </c>
      <c r="B404" s="737">
        <f>'Аксессуары (2)'!B404*1.3*($K$2/100+1)</f>
        <v>438.80265000000003</v>
      </c>
      <c r="C404" s="737">
        <f>'Аксессуары (2)'!C404*1.3*($K$2/100+1)</f>
        <v>487.55849999999998</v>
      </c>
      <c r="D404" s="737">
        <f>'Аксессуары (2)'!D404*1.3*($K$2/100+1)</f>
        <v>536.31434999999999</v>
      </c>
      <c r="E404" s="737">
        <f>'Аксессуары (2)'!E404*1.6*($K$2/100+1)</f>
        <v>720.08639999999991</v>
      </c>
      <c r="F404" s="737">
        <f>'Аксессуары (2)'!F404*1.6*($K$2/100+1)</f>
        <v>792.09504000000004</v>
      </c>
      <c r="G404" s="737">
        <f>'Аксессуары (2)'!G404*1.6*($K$2/100+1)</f>
        <v>864.10367999999983</v>
      </c>
      <c r="H404" s="740">
        <f>'Аксессуары (2)'!H404*1.8*($K$2/100+1)</f>
        <v>1350.162</v>
      </c>
      <c r="I404" s="740">
        <f>'Аксессуары (2)'!J404*1.5*($K$2/100+1)</f>
        <v>1687.7025000000001</v>
      </c>
      <c r="J404" s="741">
        <f>'Аксессуары (2)'!J404*1.8*($K$2/100+1)</f>
        <v>2025.2430000000004</v>
      </c>
    </row>
    <row r="405" spans="1:10" ht="14.95" customHeight="1">
      <c r="A405" s="414" t="s">
        <v>2113</v>
      </c>
      <c r="B405" s="737">
        <f>'Аксессуары (2)'!B405*1.3*($K$2/100+1)</f>
        <v>442.14048449999996</v>
      </c>
      <c r="C405" s="737">
        <f>'Аксессуары (2)'!C405*1.3*($K$2/100+1)</f>
        <v>491.26720499999999</v>
      </c>
      <c r="D405" s="737">
        <f>'Аксессуары (2)'!D405*1.3*($K$2/100+1)</f>
        <v>540.39392550000002</v>
      </c>
      <c r="E405" s="737">
        <f>'Аксессуары (2)'!E405*1.6*($K$2/100+1)</f>
        <v>725.56387199999995</v>
      </c>
      <c r="F405" s="737">
        <f>'Аксессуары (2)'!F405*1.6*($K$2/100+1)</f>
        <v>798.12025920000008</v>
      </c>
      <c r="G405" s="737">
        <f>'Аксессуары (2)'!G405*1.6*($K$2/100+1)</f>
        <v>870.67664639999975</v>
      </c>
      <c r="H405" s="740">
        <f>'Аксессуары (2)'!H405*1.8*($K$2/100+1)</f>
        <v>1360.43226</v>
      </c>
      <c r="I405" s="740">
        <f>'Аксессуары (2)'!J405*1.5*($K$2/100+1)</f>
        <v>1700.5403249999999</v>
      </c>
      <c r="J405" s="741">
        <f>'Аксессуары (2)'!J405*1.8*($K$2/100+1)</f>
        <v>2040.6483899999998</v>
      </c>
    </row>
    <row r="406" spans="1:10" ht="14.95" customHeight="1">
      <c r="A406" s="414" t="s">
        <v>2114</v>
      </c>
      <c r="B406" s="737">
        <f>'Аксессуары (2)'!B406*1.3*($K$2/100+1)</f>
        <v>444.95129250000002</v>
      </c>
      <c r="C406" s="737">
        <f>'Аксессуары (2)'!C406*1.3*($K$2/100+1)</f>
        <v>494.39032500000002</v>
      </c>
      <c r="D406" s="737">
        <f>'Аксессуары (2)'!D406*1.3*($K$2/100+1)</f>
        <v>543.82935750000001</v>
      </c>
      <c r="E406" s="737">
        <f>'Аксессуары (2)'!E406*1.6*($K$2/100+1)</f>
        <v>730.17647999999997</v>
      </c>
      <c r="F406" s="737">
        <f>'Аксессуары (2)'!F406*1.6*($K$2/100+1)</f>
        <v>803.19412799999998</v>
      </c>
      <c r="G406" s="737">
        <f>'Аксессуары (2)'!G406*1.6*($K$2/100+1)</f>
        <v>876.21177599999987</v>
      </c>
      <c r="H406" s="740">
        <f>'Аксессуары (2)'!H406*1.8*($K$2/100+1)</f>
        <v>1369.0809000000002</v>
      </c>
      <c r="I406" s="740">
        <f>'Аксессуары (2)'!J406*1.5*($K$2/100+1)</f>
        <v>1711.3511250000001</v>
      </c>
      <c r="J406" s="741">
        <f>'Аксессуары (2)'!J406*1.8*($K$2/100+1)</f>
        <v>2053.6213500000003</v>
      </c>
    </row>
    <row r="407" spans="1:10" ht="14.95" customHeight="1">
      <c r="A407" s="414" t="s">
        <v>2115</v>
      </c>
      <c r="B407" s="737">
        <f>'Аксессуары (2)'!B407*1.3*($K$2/100+1)</f>
        <v>483.07287599999995</v>
      </c>
      <c r="C407" s="737">
        <f>'Аксессуары (2)'!C407*1.3*($K$2/100+1)</f>
        <v>536.74763999999993</v>
      </c>
      <c r="D407" s="737">
        <f>'Аксессуары (2)'!D407*1.3*($K$2/100+1)</f>
        <v>590.42240400000003</v>
      </c>
      <c r="E407" s="737">
        <f>'Аксессуары (2)'!E407*1.6*($K$2/100+1)</f>
        <v>792.73497599999985</v>
      </c>
      <c r="F407" s="737">
        <f>'Аксессуары (2)'!F407*1.6*($K$2/100+1)</f>
        <v>872.0084736</v>
      </c>
      <c r="G407" s="737">
        <f>'Аксессуары (2)'!G407*1.6*($K$2/100+1)</f>
        <v>951.28197119999993</v>
      </c>
      <c r="H407" s="740">
        <f>'Аксессуары (2)'!H407*1.8*($K$2/100+1)</f>
        <v>1486.37808</v>
      </c>
      <c r="I407" s="740">
        <f>'Аксессуары (2)'!J407*1.5*($K$2/100+1)</f>
        <v>1857.9726000000001</v>
      </c>
      <c r="J407" s="741">
        <f>'Аксессуары (2)'!J407*1.8*($K$2/100+1)</f>
        <v>2229.5671199999997</v>
      </c>
    </row>
    <row r="408" spans="1:10" ht="14.95" customHeight="1">
      <c r="A408" s="414" t="s">
        <v>2116</v>
      </c>
      <c r="B408" s="737">
        <f>'Аксессуары (2)'!B408*1.3*($K$2/100+1)</f>
        <v>495.19448549999993</v>
      </c>
      <c r="C408" s="737">
        <f>'Аксессуары (2)'!C408*1.3*($K$2/100+1)</f>
        <v>550.21609499999988</v>
      </c>
      <c r="D408" s="737">
        <f>'Аксессуары (2)'!D408*1.3*($K$2/100+1)</f>
        <v>605.23770450000006</v>
      </c>
      <c r="E408" s="737">
        <f>'Аксессуары (2)'!E408*1.6*($K$2/100+1)</f>
        <v>812.62684799999977</v>
      </c>
      <c r="F408" s="737">
        <f>'Аксессуары (2)'!F408*1.6*($K$2/100+1)</f>
        <v>893.88953279999987</v>
      </c>
      <c r="G408" s="737">
        <f>'Аксессуары (2)'!G408*1.6*($K$2/100+1)</f>
        <v>975.15221759999974</v>
      </c>
      <c r="H408" s="740">
        <f>'Аксессуары (2)'!H408*1.8*($K$2/100+1)</f>
        <v>1523.6753399999998</v>
      </c>
      <c r="I408" s="740">
        <f>'Аксессуары (2)'!J408*1.5*($K$2/100+1)</f>
        <v>1904.5941749999997</v>
      </c>
      <c r="J408" s="741">
        <f>'Аксессуары (2)'!J408*1.8*($K$2/100+1)</f>
        <v>2285.5130099999997</v>
      </c>
    </row>
    <row r="409" spans="1:10" ht="14.95" customHeight="1">
      <c r="A409" s="414" t="s">
        <v>2117</v>
      </c>
      <c r="B409" s="737">
        <f>'Аксессуары (2)'!B409*1.3*($K$2/100+1)</f>
        <v>500.28907499999991</v>
      </c>
      <c r="C409" s="737">
        <f>'Аксессуары (2)'!C409*1.3*($K$2/100+1)</f>
        <v>555.8767499999999</v>
      </c>
      <c r="D409" s="737">
        <f>'Аксессуары (2)'!D409*1.3*($K$2/100+1)</f>
        <v>611.46442500000001</v>
      </c>
      <c r="E409" s="737">
        <f>'Аксессуары (2)'!E409*1.6*($K$2/100+1)</f>
        <v>820.98719999999992</v>
      </c>
      <c r="F409" s="737">
        <f>'Аксессуары (2)'!F409*1.6*($K$2/100+1)</f>
        <v>903.08591999999987</v>
      </c>
      <c r="G409" s="737">
        <f>'Аксессуары (2)'!G409*1.6*($K$2/100+1)</f>
        <v>985.18463999999972</v>
      </c>
      <c r="H409" s="740">
        <f>'Аксессуары (2)'!H409*1.8*($K$2/100+1)</f>
        <v>1539.3509999999999</v>
      </c>
      <c r="I409" s="740">
        <f>'Аксессуары (2)'!J409*1.5*($K$2/100+1)</f>
        <v>1924.1887499999998</v>
      </c>
      <c r="J409" s="741">
        <f>'Аксессуары (2)'!J409*1.8*($K$2/100+1)</f>
        <v>2309.0264999999995</v>
      </c>
    </row>
    <row r="410" spans="1:10" ht="14.95" customHeight="1">
      <c r="A410" s="414" t="s">
        <v>2118</v>
      </c>
      <c r="B410" s="737">
        <f>'Аксессуары (2)'!B410*1.3*($K$2/100+1)</f>
        <v>535.4241750000001</v>
      </c>
      <c r="C410" s="737">
        <f>'Аксессуары (2)'!C410*1.3*($K$2/100+1)</f>
        <v>594.91575000000012</v>
      </c>
      <c r="D410" s="737">
        <f>'Аксессуары (2)'!D410*1.3*($K$2/100+1)</f>
        <v>654.40732500000001</v>
      </c>
      <c r="E410" s="737">
        <f>'Аксессуары (2)'!E410*1.6*($K$2/100+1)</f>
        <v>878.64480000000003</v>
      </c>
      <c r="F410" s="737">
        <f>'Аксессуары (2)'!F410*1.6*($K$2/100+1)</f>
        <v>966.5092800000001</v>
      </c>
      <c r="G410" s="737">
        <f>'Аксессуары (2)'!G410*1.6*($K$2/100+1)</f>
        <v>1054.3737599999999</v>
      </c>
      <c r="H410" s="740">
        <f>'Аксессуары (2)'!H410*1.8*($K$2/100+1)</f>
        <v>1647.4590000000001</v>
      </c>
      <c r="I410" s="740">
        <f>'Аксессуары (2)'!J410*1.5*($K$2/100+1)</f>
        <v>2059.32375</v>
      </c>
      <c r="J410" s="741">
        <f>'Аксессуары (2)'!J410*1.8*($K$2/100+1)</f>
        <v>2471.1884999999997</v>
      </c>
    </row>
    <row r="411" spans="1:10" ht="14.95" customHeight="1">
      <c r="A411" s="414" t="s">
        <v>2119</v>
      </c>
      <c r="B411" s="737">
        <f>'Аксессуары (2)'!B411*1.3*($K$2/100+1)</f>
        <v>551.05929449999996</v>
      </c>
      <c r="C411" s="737">
        <f>'Аксессуары (2)'!C411*1.3*($K$2/100+1)</f>
        <v>612.28810499999986</v>
      </c>
      <c r="D411" s="737">
        <f>'Аксессуары (2)'!D411*1.3*($K$2/100+1)</f>
        <v>673.51691549999998</v>
      </c>
      <c r="E411" s="737">
        <f>'Аксессуары (2)'!E411*1.6*($K$2/100+1)</f>
        <v>904.30243199999984</v>
      </c>
      <c r="F411" s="737">
        <f>'Аксессуары (2)'!F411*1.6*($K$2/100+1)</f>
        <v>994.7326751999999</v>
      </c>
      <c r="G411" s="737">
        <f>'Аксессуары (2)'!G411*1.6*($K$2/100+1)</f>
        <v>1085.1629183999996</v>
      </c>
      <c r="H411" s="740">
        <f>'Аксессуары (2)'!H411*1.8*($K$2/100+1)</f>
        <v>1695.5670599999996</v>
      </c>
      <c r="I411" s="740">
        <f>'Аксессуары (2)'!J411*1.5*($K$2/100+1)</f>
        <v>2119.4588249999997</v>
      </c>
      <c r="J411" s="741">
        <f>'Аксессуары (2)'!J411*1.8*($K$2/100+1)</f>
        <v>2543.3505899999996</v>
      </c>
    </row>
    <row r="412" spans="1:10" ht="14.95" customHeight="1">
      <c r="A412" s="414" t="s">
        <v>2120</v>
      </c>
      <c r="B412" s="737">
        <f>'Аксессуары (2)'!B412*1.3*($K$2/100+1)</f>
        <v>527.69445299999995</v>
      </c>
      <c r="C412" s="737">
        <f>'Аксессуары (2)'!C412*1.3*($K$2/100+1)</f>
        <v>586.32717000000002</v>
      </c>
      <c r="D412" s="737">
        <f>'Аксессуары (2)'!D412*1.3*($K$2/100+1)</f>
        <v>644.95988699999998</v>
      </c>
      <c r="E412" s="737">
        <f>'Аксессуары (2)'!E412*1.6*($K$2/100+1)</f>
        <v>865.96012800000005</v>
      </c>
      <c r="F412" s="737">
        <f>'Аксессуары (2)'!F412*1.6*($K$2/100+1)</f>
        <v>952.55614080000009</v>
      </c>
      <c r="G412" s="737">
        <f>'Аксессуары (2)'!G412*1.6*($K$2/100+1)</f>
        <v>1039.1521536</v>
      </c>
      <c r="H412" s="740">
        <f>'Аксессуары (2)'!H412*1.8*($K$2/100+1)</f>
        <v>1623.67524</v>
      </c>
      <c r="I412" s="740">
        <f>'Аксессуары (2)'!J412*1.5*($K$2/100+1)</f>
        <v>2029.5940499999999</v>
      </c>
      <c r="J412" s="741">
        <f>'Аксессуары (2)'!J412*1.8*($K$2/100+1)</f>
        <v>2435.5128600000003</v>
      </c>
    </row>
    <row r="413" spans="1:10" ht="14.95" customHeight="1">
      <c r="A413" s="414" t="s">
        <v>2121</v>
      </c>
      <c r="B413" s="737">
        <f>'Аксессуары (2)'!B413*1.3*($K$2/100+1)</f>
        <v>544.03227449999997</v>
      </c>
      <c r="C413" s="737">
        <f>'Аксессуары (2)'!C413*1.3*($K$2/100+1)</f>
        <v>604.48030499999993</v>
      </c>
      <c r="D413" s="737">
        <f>'Аксессуары (2)'!D413*1.3*($K$2/100+1)</f>
        <v>664.9283355</v>
      </c>
      <c r="E413" s="737">
        <f>'Аксессуары (2)'!E413*1.6*($K$2/100+1)</f>
        <v>892.77091199999984</v>
      </c>
      <c r="F413" s="737">
        <f>'Аксессуары (2)'!F413*1.6*($K$2/100+1)</f>
        <v>982.04800319999993</v>
      </c>
      <c r="G413" s="737">
        <f>'Аксессуары (2)'!G413*1.6*($K$2/100+1)</f>
        <v>1071.3250943999997</v>
      </c>
      <c r="H413" s="740">
        <f>'Аксессуары (2)'!H413*1.8*($K$2/100+1)</f>
        <v>1673.9454599999999</v>
      </c>
      <c r="I413" s="740">
        <f>'Аксессуары (2)'!J413*1.5*($K$2/100+1)</f>
        <v>2092.4318249999997</v>
      </c>
      <c r="J413" s="741">
        <f>'Аксессуары (2)'!J413*1.8*($K$2/100+1)</f>
        <v>2510.9181899999999</v>
      </c>
    </row>
    <row r="414" spans="1:10" ht="14.95" customHeight="1">
      <c r="A414" s="414" t="s">
        <v>2122</v>
      </c>
      <c r="B414" s="737">
        <f>'Аксессуары (2)'!B414*1.3*($K$2/100+1)</f>
        <v>565.99171199999989</v>
      </c>
      <c r="C414" s="737">
        <f>'Аксессуары (2)'!C414*1.3*($K$2/100+1)</f>
        <v>628.87967999999989</v>
      </c>
      <c r="D414" s="737">
        <f>'Аксессуары (2)'!D414*1.3*($K$2/100+1)</f>
        <v>691.76764799999989</v>
      </c>
      <c r="E414" s="737">
        <f>'Аксессуары (2)'!E414*1.6*($K$2/100+1)</f>
        <v>928.8069119999999</v>
      </c>
      <c r="F414" s="737">
        <f>'Аксессуары (2)'!F414*1.6*($K$2/100+1)</f>
        <v>1021.6876032</v>
      </c>
      <c r="G414" s="737">
        <f>'Аксессуары (2)'!G414*1.6*($K$2/100+1)</f>
        <v>1114.5682943999998</v>
      </c>
      <c r="H414" s="740">
        <f>'Аксессуары (2)'!H414*1.8*($K$2/100+1)</f>
        <v>1741.5129599999998</v>
      </c>
      <c r="I414" s="740">
        <f>'Аксессуары (2)'!J414*1.5*($K$2/100+1)</f>
        <v>2176.8912</v>
      </c>
      <c r="J414" s="741">
        <f>'Аксессуары (2)'!J414*1.8*($K$2/100+1)</f>
        <v>2612.2694399999996</v>
      </c>
    </row>
    <row r="415" spans="1:10" ht="14.95" customHeight="1">
      <c r="A415" s="414" t="s">
        <v>2123</v>
      </c>
      <c r="B415" s="737">
        <f>'Аксессуары (2)'!B415*1.3*($K$2/100+1)</f>
        <v>601.12681200000009</v>
      </c>
      <c r="C415" s="737">
        <f>'Аксессуары (2)'!C415*1.3*($K$2/100+1)</f>
        <v>667.91867999999999</v>
      </c>
      <c r="D415" s="737">
        <f>'Аксессуары (2)'!D415*1.3*($K$2/100+1)</f>
        <v>734.71054800000013</v>
      </c>
      <c r="E415" s="737">
        <f>'Аксессуары (2)'!E415*1.6*($K$2/100+1)</f>
        <v>986.46451200000001</v>
      </c>
      <c r="F415" s="737">
        <f>'Аксессуары (2)'!F415*1.6*($K$2/100+1)</f>
        <v>1085.1109632000002</v>
      </c>
      <c r="G415" s="737">
        <f>'Аксессуары (2)'!G415*1.6*($K$2/100+1)</f>
        <v>1183.7574143999998</v>
      </c>
      <c r="H415" s="740">
        <f>'Аксессуары (2)'!H415*1.8*($K$2/100+1)</f>
        <v>1849.62096</v>
      </c>
      <c r="I415" s="740">
        <f>'Аксессуары (2)'!J415*1.5*($K$2/100+1)</f>
        <v>2312.0261999999998</v>
      </c>
      <c r="J415" s="741">
        <f>'Аксессуары (2)'!J415*1.8*($K$2/100+1)</f>
        <v>2774.4314399999998</v>
      </c>
    </row>
    <row r="416" spans="1:10" ht="14.95" customHeight="1">
      <c r="A416" s="414" t="s">
        <v>2124</v>
      </c>
      <c r="B416" s="737">
        <f>'Аксессуары (2)'!B416*1.3*($K$2/100+1)</f>
        <v>582.68088449999993</v>
      </c>
      <c r="C416" s="737">
        <f>'Аксессуары (2)'!C416*1.3*($K$2/100+1)</f>
        <v>647.42320499999994</v>
      </c>
      <c r="D416" s="737">
        <f>'Аксессуары (2)'!D416*1.3*($K$2/100+1)</f>
        <v>712.16552550000006</v>
      </c>
      <c r="E416" s="737">
        <f>'Аксессуары (2)'!E416*1.6*($K$2/100+1)</f>
        <v>956.19427199999984</v>
      </c>
      <c r="F416" s="737">
        <f>'Аксессуары (2)'!F416*1.6*($K$2/100+1)</f>
        <v>1051.8136992000002</v>
      </c>
      <c r="G416" s="737">
        <f>'Аксессуары (2)'!G416*1.6*($K$2/100+1)</f>
        <v>1147.4331264</v>
      </c>
      <c r="H416" s="740">
        <f>'Аксессуары (2)'!H416*1.8*($K$2/100+1)</f>
        <v>1792.8642599999998</v>
      </c>
      <c r="I416" s="740">
        <f>'Аксессуары (2)'!J416*1.5*($K$2/100+1)</f>
        <v>2241.0803249999999</v>
      </c>
      <c r="J416" s="741">
        <f>'Аксессуары (2)'!J416*1.8*($K$2/100+1)</f>
        <v>2689.2963900000004</v>
      </c>
    </row>
    <row r="417" spans="1:10" ht="14.95" customHeight="1">
      <c r="A417" s="414" t="s">
        <v>2125</v>
      </c>
      <c r="B417" s="737">
        <f>'Аксессуары (2)'!B417*1.3*($K$2/100+1)</f>
        <v>596.91059999999993</v>
      </c>
      <c r="C417" s="737">
        <f>'Аксессуары (2)'!C417*1.3*($K$2/100+1)</f>
        <v>663.23399999999992</v>
      </c>
      <c r="D417" s="737">
        <f>'Аксессуары (2)'!D417*1.3*($K$2/100+1)</f>
        <v>729.55739999999992</v>
      </c>
      <c r="E417" s="737">
        <f>'Аксессуары (2)'!E417*1.6*($K$2/100+1)</f>
        <v>979.54559999999992</v>
      </c>
      <c r="F417" s="737">
        <f>'Аксессуары (2)'!F417*1.6*($K$2/100+1)</f>
        <v>1077.5001600000001</v>
      </c>
      <c r="G417" s="737">
        <f>'Аксессуары (2)'!G417*1.6*($K$2/100+1)</f>
        <v>1175.45472</v>
      </c>
      <c r="H417" s="740">
        <f>'Аксессуары (2)'!H417*1.8*($K$2/100+1)</f>
        <v>1836.6479999999997</v>
      </c>
      <c r="I417" s="740">
        <f>'Аксессуары (2)'!J417*1.5*($K$2/100+1)</f>
        <v>2295.8099999999995</v>
      </c>
      <c r="J417" s="741">
        <f>'Аксессуары (2)'!J417*1.8*($K$2/100+1)</f>
        <v>2754.9719999999998</v>
      </c>
    </row>
    <row r="418" spans="1:10" ht="14.95" customHeight="1">
      <c r="A418" s="414" t="s">
        <v>2126</v>
      </c>
      <c r="B418" s="737">
        <f>'Аксессуары (2)'!B418*1.3*($K$2/100+1)</f>
        <v>605.69437500000004</v>
      </c>
      <c r="C418" s="737">
        <f>'Аксессуары (2)'!C418*1.3*($K$2/100+1)</f>
        <v>672.99374999999998</v>
      </c>
      <c r="D418" s="737">
        <f>'Аксессуары (2)'!D418*1.3*($K$2/100+1)</f>
        <v>740.29312500000003</v>
      </c>
      <c r="E418" s="737">
        <f>'Аксессуары (2)'!E418*1.6*($K$2/100+1)</f>
        <v>993.95999999999992</v>
      </c>
      <c r="F418" s="737">
        <f>'Аксессуары (2)'!F418*1.6*($K$2/100+1)</f>
        <v>1093.356</v>
      </c>
      <c r="G418" s="737">
        <f>'Аксессуары (2)'!G418*1.6*($K$2/100+1)</f>
        <v>1192.7520000000002</v>
      </c>
      <c r="H418" s="740">
        <f>'Аксессуары (2)'!H418*1.8*($K$2/100+1)</f>
        <v>1863.675</v>
      </c>
      <c r="I418" s="740">
        <f>'Аксессуары (2)'!J418*1.5*($K$2/100+1)</f>
        <v>2329.59375</v>
      </c>
      <c r="J418" s="741">
        <f>'Аксессуары (2)'!J418*1.8*($K$2/100+1)</f>
        <v>2795.5124999999998</v>
      </c>
    </row>
    <row r="419" spans="1:10" ht="14.95" customHeight="1">
      <c r="A419" s="414" t="s">
        <v>2127</v>
      </c>
      <c r="B419" s="737">
        <f>'Аксессуары (2)'!B419*1.3*($K$2/100+1)</f>
        <v>636.26191200000005</v>
      </c>
      <c r="C419" s="737">
        <f>'Аксессуары (2)'!C419*1.3*($K$2/100+1)</f>
        <v>706.95767999999998</v>
      </c>
      <c r="D419" s="737">
        <f>'Аксессуары (2)'!D419*1.3*($K$2/100+1)</f>
        <v>777.65344800000003</v>
      </c>
      <c r="E419" s="737">
        <f>'Аксессуары (2)'!E419*1.6*($K$2/100+1)</f>
        <v>1044.122112</v>
      </c>
      <c r="F419" s="737">
        <f>'Аксессуары (2)'!F419*1.6*($K$2/100+1)</f>
        <v>1148.5343232000002</v>
      </c>
      <c r="G419" s="737">
        <f>'Аксессуары (2)'!G419*1.6*($K$2/100+1)</f>
        <v>1252.9465343999998</v>
      </c>
      <c r="H419" s="740">
        <f>'Аксессуары (2)'!H419*1.8*($K$2/100+1)</f>
        <v>1957.7289599999999</v>
      </c>
      <c r="I419" s="740">
        <f>'Аксессуары (2)'!J419*1.5*($K$2/100+1)</f>
        <v>2447.1611999999996</v>
      </c>
      <c r="J419" s="741">
        <f>'Аксессуары (2)'!J419*1.8*($K$2/100+1)</f>
        <v>2936.5934399999996</v>
      </c>
    </row>
    <row r="420" spans="1:10" ht="14.95" customHeight="1">
      <c r="A420" s="414" t="s">
        <v>2128</v>
      </c>
      <c r="B420" s="737">
        <f>'Аксессуары (2)'!B420*1.3*($K$2/100+1)</f>
        <v>675.43754849999993</v>
      </c>
      <c r="C420" s="737">
        <f>'Аксессуары (2)'!C420*1.3*($K$2/100+1)</f>
        <v>750.48616499999991</v>
      </c>
      <c r="D420" s="737">
        <f>'Аксессуары (2)'!D420*1.3*($K$2/100+1)</f>
        <v>825.53478150000012</v>
      </c>
      <c r="E420" s="737">
        <f>'Аксессуары (2)'!E420*1.6*($K$2/100+1)</f>
        <v>1108.4103360000001</v>
      </c>
      <c r="F420" s="737">
        <f>'Аксессуары (2)'!F420*1.6*($K$2/100+1)</f>
        <v>1219.2513696000001</v>
      </c>
      <c r="G420" s="737">
        <f>'Аксессуары (2)'!G420*1.6*($K$2/100+1)</f>
        <v>1330.0924031999998</v>
      </c>
      <c r="H420" s="740">
        <f>'Аксессуары (2)'!H420*1.8*($K$2/100+1)</f>
        <v>2078.2693799999997</v>
      </c>
      <c r="I420" s="740">
        <f>'Аксессуары (2)'!J420*1.5*($K$2/100+1)</f>
        <v>2597.8367249999997</v>
      </c>
      <c r="J420" s="741">
        <f>'Аксессуары (2)'!J420*1.8*($K$2/100+1)</f>
        <v>3117.4040700000005</v>
      </c>
    </row>
    <row r="421" spans="1:10" ht="14.95" customHeight="1">
      <c r="A421" s="414" t="s">
        <v>2129</v>
      </c>
      <c r="B421" s="737">
        <f>'Аксессуары (2)'!B421*1.3*($K$2/100+1)</f>
        <v>710.5726484999999</v>
      </c>
      <c r="C421" s="737">
        <f>'Аксессуары (2)'!C421*1.3*($K$2/100+1)</f>
        <v>789.52516500000002</v>
      </c>
      <c r="D421" s="737">
        <f>'Аксессуары (2)'!D421*1.3*($K$2/100+1)</f>
        <v>868.47768150000013</v>
      </c>
      <c r="E421" s="737">
        <f>'Аксессуары (2)'!E421*1.6*($K$2/100+1)</f>
        <v>1166.0679359999999</v>
      </c>
      <c r="F421" s="737">
        <f>'Аксессуары (2)'!F421*1.6*($K$2/100+1)</f>
        <v>1282.6747295999999</v>
      </c>
      <c r="G421" s="737">
        <f>'Аксессуары (2)'!G421*1.6*($K$2/100+1)</f>
        <v>1399.2815231999996</v>
      </c>
      <c r="H421" s="740">
        <f>'Аксессуары (2)'!H421*1.8*($K$2/100+1)</f>
        <v>2186.3773799999999</v>
      </c>
      <c r="I421" s="740">
        <f>'Аксессуары (2)'!J421*1.5*($K$2/100+1)</f>
        <v>2732.9717249999999</v>
      </c>
      <c r="J421" s="741">
        <f>'Аксессуары (2)'!J421*1.8*($K$2/100+1)</f>
        <v>3279.5660699999999</v>
      </c>
    </row>
    <row r="422" spans="1:10" ht="14.95" customHeight="1">
      <c r="A422" s="414" t="s">
        <v>2130</v>
      </c>
      <c r="B422" s="737">
        <f>'Аксессуары (2)'!B422*1.3*($K$2/100+1)</f>
        <v>745.70774849999998</v>
      </c>
      <c r="C422" s="737">
        <f>'Аксессуары (2)'!C422*1.3*($K$2/100+1)</f>
        <v>828.564165</v>
      </c>
      <c r="D422" s="737">
        <f>'Аксессуары (2)'!D422*1.3*($K$2/100+1)</f>
        <v>911.42058150000003</v>
      </c>
      <c r="E422" s="737">
        <f>'Аксессуары (2)'!E422*1.6*($K$2/100+1)</f>
        <v>1223.7255359999999</v>
      </c>
      <c r="F422" s="737">
        <f>'Аксессуары (2)'!F422*1.6*($K$2/100+1)</f>
        <v>1346.0980896000001</v>
      </c>
      <c r="G422" s="737">
        <f>'Аксессуары (2)'!G422*1.6*($K$2/100+1)</f>
        <v>1468.4706431999998</v>
      </c>
      <c r="H422" s="740">
        <f>'Аксессуары (2)'!H422*1.8*($K$2/100+1)</f>
        <v>2294.4853799999996</v>
      </c>
      <c r="I422" s="740">
        <f>'Аксессуары (2)'!J422*1.5*($K$2/100+1)</f>
        <v>2868.1067249999996</v>
      </c>
      <c r="J422" s="741">
        <f>'Аксессуары (2)'!J422*1.8*($K$2/100+1)</f>
        <v>3441.7280699999997</v>
      </c>
    </row>
    <row r="423" spans="1:10" ht="14.95" customHeight="1">
      <c r="A423" s="414" t="s">
        <v>2131</v>
      </c>
      <c r="B423" s="737">
        <f>'Аксессуары (2)'!B423*1.3*($K$2/100+1)</f>
        <v>605.69437500000004</v>
      </c>
      <c r="C423" s="737">
        <f>'Аксессуары (2)'!C423*1.3*($K$2/100+1)</f>
        <v>672.99374999999998</v>
      </c>
      <c r="D423" s="737">
        <f>'Аксессуары (2)'!D423*1.3*($K$2/100+1)</f>
        <v>740.29312500000003</v>
      </c>
      <c r="E423" s="737">
        <f>'Аксессуары (2)'!E423*1.6*($K$2/100+1)</f>
        <v>993.95999999999992</v>
      </c>
      <c r="F423" s="737">
        <f>'Аксессуары (2)'!F423*1.6*($K$2/100+1)</f>
        <v>1093.356</v>
      </c>
      <c r="G423" s="737">
        <f>'Аксессуары (2)'!G423*1.6*($K$2/100+1)</f>
        <v>1192.7520000000002</v>
      </c>
      <c r="H423" s="740">
        <f>'Аксессуары (2)'!H423*1.8*($K$2/100+1)</f>
        <v>1863.675</v>
      </c>
      <c r="I423" s="740">
        <f>'Аксессуары (2)'!J423*1.5*($K$2/100+1)</f>
        <v>2329.59375</v>
      </c>
      <c r="J423" s="741">
        <f>'Аксессуары (2)'!J423*1.8*($K$2/100+1)</f>
        <v>2795.5124999999998</v>
      </c>
    </row>
    <row r="424" spans="1:10" ht="14.95" customHeight="1">
      <c r="A424" s="414" t="s">
        <v>2132</v>
      </c>
      <c r="B424" s="737">
        <f>'Аксессуары (2)'!B424*1.3*($K$2/100+1)</f>
        <v>623.26192500000013</v>
      </c>
      <c r="C424" s="737">
        <f>'Аксессуары (2)'!C424*1.3*($K$2/100+1)</f>
        <v>692.51325000000008</v>
      </c>
      <c r="D424" s="737">
        <f>'Аксессуары (2)'!D424*1.3*($K$2/100+1)</f>
        <v>761.76457500000004</v>
      </c>
      <c r="E424" s="737">
        <f>'Аксессуары (2)'!E424*1.6*($K$2/100+1)</f>
        <v>1022.7888</v>
      </c>
      <c r="F424" s="737">
        <f>'Аксессуары (2)'!F424*1.6*($K$2/100+1)</f>
        <v>1125.0676800000001</v>
      </c>
      <c r="G424" s="737">
        <f>'Аксессуары (2)'!G424*1.6*($K$2/100+1)</f>
        <v>1227.34656</v>
      </c>
      <c r="H424" s="740">
        <f>'Аксессуары (2)'!H424*1.8*($K$2/100+1)</f>
        <v>1917.7290000000003</v>
      </c>
      <c r="I424" s="740">
        <f>'Аксессуары (2)'!J424*1.5*($K$2/100+1)</f>
        <v>2397.1612500000001</v>
      </c>
      <c r="J424" s="741">
        <f>'Аксессуары (2)'!J424*1.8*($K$2/100+1)</f>
        <v>2876.5934999999999</v>
      </c>
    </row>
    <row r="425" spans="1:10" ht="14.95" customHeight="1">
      <c r="A425" s="414" t="s">
        <v>2133</v>
      </c>
      <c r="B425" s="737">
        <f>'Аксессуары (2)'!B425*1.3*($K$2/100+1)</f>
        <v>640.829475</v>
      </c>
      <c r="C425" s="737">
        <f>'Аксессуары (2)'!C425*1.3*($K$2/100+1)</f>
        <v>712.03274999999996</v>
      </c>
      <c r="D425" s="737">
        <f>'Аксессуары (2)'!D425*1.3*($K$2/100+1)</f>
        <v>783.23602500000015</v>
      </c>
      <c r="E425" s="737">
        <f>'Аксессуары (2)'!E425*1.6*($K$2/100+1)</f>
        <v>1051.6176</v>
      </c>
      <c r="F425" s="737">
        <f>'Аксессуары (2)'!F425*1.6*($K$2/100+1)</f>
        <v>1156.77936</v>
      </c>
      <c r="G425" s="737">
        <f>'Аксессуары (2)'!G425*1.6*($K$2/100+1)</f>
        <v>1261.9411199999997</v>
      </c>
      <c r="H425" s="740">
        <f>'Аксессуары (2)'!H425*1.8*($K$2/100+1)</f>
        <v>1971.7829999999999</v>
      </c>
      <c r="I425" s="740">
        <f>'Аксессуары (2)'!J425*1.5*($K$2/100+1)</f>
        <v>2464.7287499999998</v>
      </c>
      <c r="J425" s="741">
        <f>'Аксессуары (2)'!J425*1.8*($K$2/100+1)</f>
        <v>2957.6744999999996</v>
      </c>
    </row>
    <row r="426" spans="1:10" ht="14.95" customHeight="1">
      <c r="A426" s="414" t="s">
        <v>2134</v>
      </c>
      <c r="B426" s="737">
        <f>'Аксессуары (2)'!B426*1.3*($K$2/100+1)</f>
        <v>675.96457499999997</v>
      </c>
      <c r="C426" s="737">
        <f>'Аксессуары (2)'!C426*1.3*($K$2/100+1)</f>
        <v>751.07174999999995</v>
      </c>
      <c r="D426" s="737">
        <f>'Аксессуары (2)'!D426*1.3*($K$2/100+1)</f>
        <v>826.17892500000005</v>
      </c>
      <c r="E426" s="737">
        <f>'Аксессуары (2)'!E426*1.6*($K$2/100+1)</f>
        <v>1109.2752</v>
      </c>
      <c r="F426" s="737">
        <f>'Аксессуары (2)'!F426*1.6*($K$2/100+1)</f>
        <v>1220.20272</v>
      </c>
      <c r="G426" s="737">
        <f>'Аксессуары (2)'!G426*1.6*($K$2/100+1)</f>
        <v>1331.1302399999997</v>
      </c>
      <c r="H426" s="740">
        <f>'Аксессуары (2)'!H426*1.8*($K$2/100+1)</f>
        <v>2079.8909999999996</v>
      </c>
      <c r="I426" s="740">
        <f>'Аксессуары (2)'!J426*1.5*($K$2/100+1)</f>
        <v>2599.8637499999995</v>
      </c>
      <c r="J426" s="741">
        <f>'Аксессуары (2)'!J426*1.8*($K$2/100+1)</f>
        <v>3119.8364999999994</v>
      </c>
    </row>
    <row r="427" spans="1:10" ht="14.95" customHeight="1">
      <c r="A427" s="414" t="s">
        <v>2135</v>
      </c>
      <c r="B427" s="737">
        <f>'Аксессуары (2)'!B427*1.3*($K$2/100+1)</f>
        <v>711.09967500000016</v>
      </c>
      <c r="C427" s="737">
        <f>'Аксессуары (2)'!C427*1.3*($K$2/100+1)</f>
        <v>790.11074999999994</v>
      </c>
      <c r="D427" s="737">
        <f>'Аксессуары (2)'!D427*1.3*($K$2/100+1)</f>
        <v>869.12182500000017</v>
      </c>
      <c r="E427" s="737">
        <f>'Аксессуары (2)'!E427*1.6*($K$2/100+1)</f>
        <v>1166.9328</v>
      </c>
      <c r="F427" s="737">
        <f>'Аксессуары (2)'!F427*1.6*($K$2/100+1)</f>
        <v>1283.62608</v>
      </c>
      <c r="G427" s="737">
        <f>'Аксессуары (2)'!G427*1.6*($K$2/100+1)</f>
        <v>1400.31936</v>
      </c>
      <c r="H427" s="740">
        <f>'Аксессуары (2)'!H427*1.8*($K$2/100+1)</f>
        <v>2187.9990000000003</v>
      </c>
      <c r="I427" s="740">
        <f>'Аксессуары (2)'!J427*1.5*($K$2/100+1)</f>
        <v>2734.9987500000002</v>
      </c>
      <c r="J427" s="741">
        <f>'Аксессуары (2)'!J427*1.8*($K$2/100+1)</f>
        <v>3281.9985000000006</v>
      </c>
    </row>
    <row r="428" spans="1:10" ht="14.95" customHeight="1">
      <c r="A428" s="414" t="s">
        <v>2136</v>
      </c>
      <c r="B428" s="737">
        <f>'Аксессуары (2)'!B428*1.3*($K$2/100+1)</f>
        <v>635.38353450000011</v>
      </c>
      <c r="C428" s="737">
        <f>'Аксессуары (2)'!C428*1.3*($K$2/100+1)</f>
        <v>705.98170500000003</v>
      </c>
      <c r="D428" s="737">
        <f>'Аксессуары (2)'!D428*1.3*($K$2/100+1)</f>
        <v>776.57987550000007</v>
      </c>
      <c r="E428" s="737">
        <f>'Аксессуары (2)'!E428*1.6*($K$2/100+1)</f>
        <v>1042.6806720000002</v>
      </c>
      <c r="F428" s="737">
        <f>'Аксессуары (2)'!F428*1.6*($K$2/100+1)</f>
        <v>1146.9487392000001</v>
      </c>
      <c r="G428" s="737">
        <f>'Аксессуары (2)'!G428*1.6*($K$2/100+1)</f>
        <v>1251.2168064</v>
      </c>
      <c r="H428" s="740">
        <f>'Аксессуары (2)'!H428*1.8*($K$2/100+1)</f>
        <v>1955.0262600000001</v>
      </c>
      <c r="I428" s="740">
        <f>'Аксессуары (2)'!J428*1.5*($K$2/100+1)</f>
        <v>2443.7828249999998</v>
      </c>
      <c r="J428" s="741">
        <f>'Аксессуары (2)'!J428*1.8*($K$2/100+1)</f>
        <v>2932.5393899999999</v>
      </c>
    </row>
    <row r="429" spans="1:10" ht="14.95" customHeight="1">
      <c r="A429" s="414" t="s">
        <v>2137</v>
      </c>
      <c r="B429" s="737">
        <f>'Аксессуары (2)'!B429*1.3*($K$2/100+1)</f>
        <v>648.91054800000006</v>
      </c>
      <c r="C429" s="737">
        <f>'Аксессуары (2)'!C429*1.3*($K$2/100+1)</f>
        <v>721.01171999999985</v>
      </c>
      <c r="D429" s="737">
        <f>'Аксессуары (2)'!D429*1.3*($K$2/100+1)</f>
        <v>793.11289199999999</v>
      </c>
      <c r="E429" s="737">
        <f>'Аксессуары (2)'!E429*1.6*($K$2/100+1)</f>
        <v>1064.8788480000001</v>
      </c>
      <c r="F429" s="737">
        <f>'Аксессуары (2)'!F429*1.6*($K$2/100+1)</f>
        <v>1171.3667327999999</v>
      </c>
      <c r="G429" s="737">
        <f>'Аксессуары (2)'!G429*1.6*($K$2/100+1)</f>
        <v>1277.8546175999998</v>
      </c>
      <c r="H429" s="740">
        <f>'Аксессуары (2)'!H429*1.8*($K$2/100+1)</f>
        <v>1996.6478399999999</v>
      </c>
      <c r="I429" s="740">
        <f>'Аксессуары (2)'!J429*1.5*($K$2/100+1)</f>
        <v>2495.8097999999995</v>
      </c>
      <c r="J429" s="741">
        <f>'Аксессуары (2)'!J429*1.8*($K$2/100+1)</f>
        <v>2994.9717599999999</v>
      </c>
    </row>
    <row r="430" spans="1:10" ht="14.95" customHeight="1">
      <c r="A430" s="414" t="s">
        <v>2138</v>
      </c>
      <c r="B430" s="737">
        <f>'Аксессуары (2)'!B430*1.3*($K$2/100+1)</f>
        <v>658.39702499999999</v>
      </c>
      <c r="C430" s="737">
        <f>'Аксессуары (2)'!C430*1.3*($K$2/100+1)</f>
        <v>731.55224999999984</v>
      </c>
      <c r="D430" s="737">
        <f>'Аксессуары (2)'!D430*1.3*($K$2/100+1)</f>
        <v>804.70747499999993</v>
      </c>
      <c r="E430" s="737">
        <f>'Аксессуары (2)'!E430*1.6*($K$2/100+1)</f>
        <v>1080.4463999999998</v>
      </c>
      <c r="F430" s="737">
        <f>'Аксессуары (2)'!F430*1.6*($K$2/100+1)</f>
        <v>1188.4910399999999</v>
      </c>
      <c r="G430" s="737">
        <f>'Аксессуары (2)'!G430*1.6*($K$2/100+1)</f>
        <v>1296.5356799999997</v>
      </c>
      <c r="H430" s="740">
        <f>'Аксессуары (2)'!H430*1.8*($K$2/100+1)</f>
        <v>2025.8369999999998</v>
      </c>
      <c r="I430" s="740">
        <f>'Аксессуары (2)'!J430*1.5*($K$2/100+1)</f>
        <v>2532.2962499999999</v>
      </c>
      <c r="J430" s="741">
        <f>'Аксессуары (2)'!J430*1.8*($K$2/100+1)</f>
        <v>3038.7554999999998</v>
      </c>
    </row>
    <row r="431" spans="1:10" ht="14.95" customHeight="1">
      <c r="A431" s="414" t="s">
        <v>2139</v>
      </c>
      <c r="B431" s="737">
        <f>'Аксессуары (2)'!B431*1.3*($K$2/100+1)</f>
        <v>677.01862800000004</v>
      </c>
      <c r="C431" s="737">
        <f>'Аксессуары (2)'!C431*1.3*($K$2/100+1)</f>
        <v>752.24292000000003</v>
      </c>
      <c r="D431" s="737">
        <f>'Аксессуары (2)'!D431*1.3*($K$2/100+1)</f>
        <v>827.46721200000013</v>
      </c>
      <c r="E431" s="737">
        <f>'Аксессуары (2)'!E431*1.6*($K$2/100+1)</f>
        <v>1111.0049280000001</v>
      </c>
      <c r="F431" s="737">
        <f>'Аксессуары (2)'!F431*1.6*($K$2/100+1)</f>
        <v>1222.1054208000003</v>
      </c>
      <c r="G431" s="737">
        <f>'Аксессуары (2)'!G431*1.6*($K$2/100+1)</f>
        <v>1333.2059136</v>
      </c>
      <c r="H431" s="740">
        <f>'Аксессуары (2)'!H431*1.8*($K$2/100+1)</f>
        <v>2083.1342400000003</v>
      </c>
      <c r="I431" s="740">
        <f>'Аксессуары (2)'!J431*1.5*($K$2/100+1)</f>
        <v>2603.9178000000002</v>
      </c>
      <c r="J431" s="741">
        <f>'Аксессуары (2)'!J431*1.8*($K$2/100+1)</f>
        <v>3124.7013600000005</v>
      </c>
    </row>
    <row r="432" spans="1:10" ht="14.95" customHeight="1">
      <c r="A432" s="414" t="s">
        <v>2140</v>
      </c>
      <c r="B432" s="737">
        <f>'Аксессуары (2)'!B432*1.3*($K$2/100+1)</f>
        <v>699.8564429999999</v>
      </c>
      <c r="C432" s="737">
        <f>'Аксессуары (2)'!C432*1.3*($K$2/100+1)</f>
        <v>777.61826999999982</v>
      </c>
      <c r="D432" s="737">
        <f>'Аксессуары (2)'!D432*1.3*($K$2/100+1)</f>
        <v>855.38009699999998</v>
      </c>
      <c r="E432" s="737">
        <f>'Аксессуары (2)'!E432*1.6*($K$2/100+1)</f>
        <v>1148.4823679999997</v>
      </c>
      <c r="F432" s="737">
        <f>'Аксессуары (2)'!F432*1.6*($K$2/100+1)</f>
        <v>1263.3306047999999</v>
      </c>
      <c r="G432" s="737">
        <f>'Аксессуары (2)'!G432*1.6*($K$2/100+1)</f>
        <v>1378.1788415999999</v>
      </c>
      <c r="H432" s="740">
        <f>'Аксессуары (2)'!H432*1.8*($K$2/100+1)</f>
        <v>2153.4044399999998</v>
      </c>
      <c r="I432" s="740">
        <f>'Аксессуары (2)'!J432*1.5*($K$2/100+1)</f>
        <v>2691.7555499999999</v>
      </c>
      <c r="J432" s="741">
        <f>'Аксессуары (2)'!J432*1.8*($K$2/100+1)</f>
        <v>3230.1066599999999</v>
      </c>
    </row>
    <row r="433" spans="1:10" ht="14.95" customHeight="1">
      <c r="A433" s="414" t="s">
        <v>2141</v>
      </c>
      <c r="B433" s="737">
        <f>'Аксессуары (2)'!B433*1.3*($K$2/100+1)</f>
        <v>786.99149100000011</v>
      </c>
      <c r="C433" s="737">
        <f>'Аксессуары (2)'!C433*1.3*($K$2/100+1)</f>
        <v>874.43499000000008</v>
      </c>
      <c r="D433" s="737">
        <f>'Аксессуары (2)'!D433*1.3*($K$2/100+1)</f>
        <v>961.87848900000006</v>
      </c>
      <c r="E433" s="737">
        <f>'Аксессуары (2)'!E433*1.6*($K$2/100+1)</f>
        <v>1291.4732160000001</v>
      </c>
      <c r="F433" s="737">
        <f>'Аксессуары (2)'!F433*1.6*($K$2/100+1)</f>
        <v>1420.6205376000003</v>
      </c>
      <c r="G433" s="737">
        <f>'Аксессуары (2)'!G433*1.6*($K$2/100+1)</f>
        <v>1549.7678592</v>
      </c>
      <c r="H433" s="740">
        <f>'Аксессуары (2)'!H433*1.8*($K$2/100+1)</f>
        <v>2421.5122800000004</v>
      </c>
      <c r="I433" s="740">
        <f>'Аксессуары (2)'!J433*1.5*($K$2/100+1)</f>
        <v>3026.8903500000001</v>
      </c>
      <c r="J433" s="741">
        <f>'Аксессуары (2)'!J433*1.8*($K$2/100+1)</f>
        <v>3632.2684199999999</v>
      </c>
    </row>
    <row r="434" spans="1:10" ht="14.95" customHeight="1">
      <c r="A434" s="414" t="s">
        <v>2142</v>
      </c>
      <c r="B434" s="737">
        <f>'Аксессуары (2)'!B434*1.3*($K$2/100+1)</f>
        <v>822.12659100000008</v>
      </c>
      <c r="C434" s="737">
        <f>'Аксессуары (2)'!C434*1.3*($K$2/100+1)</f>
        <v>913.47398999999984</v>
      </c>
      <c r="D434" s="737">
        <f>'Аксессуары (2)'!D434*1.3*($K$2/100+1)</f>
        <v>1004.821389</v>
      </c>
      <c r="E434" s="737">
        <f>'Аксессуары (2)'!E434*1.6*($K$2/100+1)</f>
        <v>1349.1308159999999</v>
      </c>
      <c r="F434" s="737">
        <f>'Аксессуары (2)'!F434*1.6*($K$2/100+1)</f>
        <v>1484.0438976</v>
      </c>
      <c r="G434" s="737">
        <f>'Аксессуары (2)'!G434*1.6*($K$2/100+1)</f>
        <v>1618.9569792</v>
      </c>
      <c r="H434" s="740">
        <f>'Аксессуары (2)'!H434*1.8*($K$2/100+1)</f>
        <v>2529.6202800000001</v>
      </c>
      <c r="I434" s="740">
        <f>'Аксессуары (2)'!J434*1.5*($K$2/100+1)</f>
        <v>3162.0253499999994</v>
      </c>
      <c r="J434" s="741">
        <f>'Аксессуары (2)'!J434*1.8*($K$2/100+1)</f>
        <v>3794.4304199999997</v>
      </c>
    </row>
    <row r="435" spans="1:10" ht="14.95" customHeight="1">
      <c r="A435" s="414" t="s">
        <v>2143</v>
      </c>
      <c r="B435" s="737">
        <f>'Аксессуары (2)'!B435*1.3*($K$2/100+1)</f>
        <v>738.856404</v>
      </c>
      <c r="C435" s="737">
        <f>'Аксессуары (2)'!C435*1.3*($K$2/100+1)</f>
        <v>820.95155999999997</v>
      </c>
      <c r="D435" s="737">
        <f>'Аксессуары (2)'!D435*1.3*($K$2/100+1)</f>
        <v>903.04671600000006</v>
      </c>
      <c r="E435" s="737">
        <f>'Аксессуары (2)'!E435*1.6*($K$2/100+1)</f>
        <v>1212.4823039999999</v>
      </c>
      <c r="F435" s="737">
        <f>'Аксессуары (2)'!F435*1.6*($K$2/100+1)</f>
        <v>1333.7305343999999</v>
      </c>
      <c r="G435" s="737">
        <f>'Аксессуары (2)'!G435*1.6*($K$2/100+1)</f>
        <v>1454.9787647999999</v>
      </c>
      <c r="H435" s="740">
        <f>'Аксессуары (2)'!H435*1.8*($K$2/100+1)</f>
        <v>2273.4043199999996</v>
      </c>
      <c r="I435" s="740">
        <f>'Аксессуары (2)'!J435*1.5*($K$2/100+1)</f>
        <v>2841.7553999999996</v>
      </c>
      <c r="J435" s="741">
        <f>'Аксессуары (2)'!J435*1.8*($K$2/100+1)</f>
        <v>3410.1064799999999</v>
      </c>
    </row>
    <row r="436" spans="1:10" ht="14.95" customHeight="1">
      <c r="A436" s="414" t="s">
        <v>2144</v>
      </c>
      <c r="B436" s="737">
        <f>'Аксессуары (2)'!B436*1.3*($K$2/100+1)</f>
        <v>756.42395399999998</v>
      </c>
      <c r="C436" s="737">
        <f>'Аксессуары (2)'!C436*1.3*($K$2/100+1)</f>
        <v>840.47105999999997</v>
      </c>
      <c r="D436" s="737">
        <f>'Аксессуары (2)'!D436*1.3*($K$2/100+1)</f>
        <v>924.51816600000006</v>
      </c>
      <c r="E436" s="737">
        <f>'Аксессуары (2)'!E436*1.6*($K$2/100+1)</f>
        <v>1241.3111039999999</v>
      </c>
      <c r="F436" s="737">
        <f>'Аксессуары (2)'!F436*1.6*($K$2/100+1)</f>
        <v>1365.4422143999998</v>
      </c>
      <c r="G436" s="737">
        <f>'Аксессуары (2)'!G436*1.6*($K$2/100+1)</f>
        <v>1489.5733247999999</v>
      </c>
      <c r="H436" s="740">
        <f>'Аксессуары (2)'!H436*1.8*($K$2/100+1)</f>
        <v>2327.4583199999997</v>
      </c>
      <c r="I436" s="740">
        <f>'Аксессуары (2)'!J436*1.5*($K$2/100+1)</f>
        <v>2909.3228999999997</v>
      </c>
      <c r="J436" s="741">
        <f>'Аксессуары (2)'!J436*1.8*($K$2/100+1)</f>
        <v>3491.1874800000001</v>
      </c>
    </row>
    <row r="437" spans="1:10" ht="14.95" customHeight="1">
      <c r="A437" s="414" t="s">
        <v>2145</v>
      </c>
      <c r="B437" s="737">
        <f>'Аксессуары (2)'!B437*1.3*($K$2/100+1)</f>
        <v>763.09962299999984</v>
      </c>
      <c r="C437" s="737">
        <f>'Аксессуары (2)'!C437*1.3*($K$2/100+1)</f>
        <v>847.88846999999976</v>
      </c>
      <c r="D437" s="737">
        <f>'Аксессуары (2)'!D437*1.3*($K$2/100+1)</f>
        <v>932.6773169999999</v>
      </c>
      <c r="E437" s="737">
        <f>'Аксессуары (2)'!E437*1.6*($K$2/100+1)</f>
        <v>1252.2660479999997</v>
      </c>
      <c r="F437" s="737">
        <f>'Аксессуары (2)'!F437*1.6*($K$2/100+1)</f>
        <v>1377.4926527999999</v>
      </c>
      <c r="G437" s="737">
        <f>'Аксессуары (2)'!G437*1.6*($K$2/100+1)</f>
        <v>1502.7192575999995</v>
      </c>
      <c r="H437" s="740">
        <f>'Аксессуары (2)'!H437*1.8*($K$2/100+1)</f>
        <v>2347.9988399999997</v>
      </c>
      <c r="I437" s="740">
        <f>'Аксессуары (2)'!J437*1.5*($K$2/100+1)</f>
        <v>2934.9985499999993</v>
      </c>
      <c r="J437" s="741">
        <f>'Аксессуары (2)'!J437*1.8*($K$2/100+1)</f>
        <v>3521.9982599999994</v>
      </c>
    </row>
    <row r="438" spans="1:10" ht="14.95" customHeight="1">
      <c r="A438" s="414" t="s">
        <v>2146</v>
      </c>
      <c r="B438" s="737">
        <f>'Аксессуары (2)'!B438*1.3*($K$2/100+1)</f>
        <v>788.22121949999985</v>
      </c>
      <c r="C438" s="737">
        <f>'Аксессуары (2)'!C438*1.3*($K$2/100+1)</f>
        <v>875.80135499999983</v>
      </c>
      <c r="D438" s="737">
        <f>'Аксессуары (2)'!D438*1.3*($K$2/100+1)</f>
        <v>963.38149049999993</v>
      </c>
      <c r="E438" s="737">
        <f>'Аксессуары (2)'!E438*1.6*($K$2/100+1)</f>
        <v>1293.4912319999999</v>
      </c>
      <c r="F438" s="737">
        <f>'Аксессуары (2)'!F438*1.6*($K$2/100+1)</f>
        <v>1422.8403551999997</v>
      </c>
      <c r="G438" s="737">
        <f>'Аксессуары (2)'!G438*1.6*($K$2/100+1)</f>
        <v>1552.1894783999996</v>
      </c>
      <c r="H438" s="740">
        <f>'Аксессуары (2)'!H438*1.8*($K$2/100+1)</f>
        <v>2425.2960599999997</v>
      </c>
      <c r="I438" s="740">
        <f>'Аксессуары (2)'!J438*1.5*($K$2/100+1)</f>
        <v>3031.6200749999998</v>
      </c>
      <c r="J438" s="741">
        <f>'Аксессуары (2)'!J438*1.8*($K$2/100+1)</f>
        <v>3637.94409</v>
      </c>
    </row>
    <row r="439" spans="1:10" ht="14.95" customHeight="1">
      <c r="A439" s="414" t="s">
        <v>2147</v>
      </c>
      <c r="B439" s="737">
        <f>'Аксессуары (2)'!B439*1.3*($K$2/100+1)</f>
        <v>822.82929300000001</v>
      </c>
      <c r="C439" s="737">
        <f>'Аксессуары (2)'!C439*1.3*($K$2/100+1)</f>
        <v>914.25476999999989</v>
      </c>
      <c r="D439" s="737">
        <f>'Аксессуары (2)'!D439*1.3*($K$2/100+1)</f>
        <v>1005.680247</v>
      </c>
      <c r="E439" s="737">
        <f>'Аксессуары (2)'!E439*1.6*($K$2/100+1)</f>
        <v>1350.283968</v>
      </c>
      <c r="F439" s="737">
        <f>'Аксессуары (2)'!F439*1.6*($K$2/100+1)</f>
        <v>1485.3123648000001</v>
      </c>
      <c r="G439" s="737">
        <f>'Аксессуары (2)'!G439*1.6*($K$2/100+1)</f>
        <v>1620.3407615999997</v>
      </c>
      <c r="H439" s="740">
        <f>'Аксессуары (2)'!H439*1.8*($K$2/100+1)</f>
        <v>2531.78244</v>
      </c>
      <c r="I439" s="740">
        <f>'Аксессуары (2)'!J439*1.5*($K$2/100+1)</f>
        <v>3164.7280499999997</v>
      </c>
      <c r="J439" s="741">
        <f>'Аксессуары (2)'!J439*1.8*($K$2/100+1)</f>
        <v>3797.6736599999995</v>
      </c>
    </row>
    <row r="440" spans="1:10" ht="14.95" customHeight="1">
      <c r="A440" s="414" t="s">
        <v>2148</v>
      </c>
      <c r="B440" s="737">
        <f>'Аксессуары (2)'!B440*1.3*($K$2/100+1)</f>
        <v>857.96439299999997</v>
      </c>
      <c r="C440" s="737">
        <f>'Аксессуары (2)'!C440*1.3*($K$2/100+1)</f>
        <v>953.29376999999988</v>
      </c>
      <c r="D440" s="737">
        <f>'Аксессуары (2)'!D440*1.3*($K$2/100+1)</f>
        <v>1048.623147</v>
      </c>
      <c r="E440" s="737">
        <f>'Аксессуары (2)'!E440*1.6*($K$2/100+1)</f>
        <v>1407.941568</v>
      </c>
      <c r="F440" s="737">
        <f>'Аксессуары (2)'!F440*1.6*($K$2/100+1)</f>
        <v>1548.7357248000001</v>
      </c>
      <c r="G440" s="737">
        <f>'Аксессуары (2)'!G440*1.6*($K$2/100+1)</f>
        <v>1689.5298816</v>
      </c>
      <c r="H440" s="740">
        <f>'Аксессуары (2)'!H440*1.8*($K$2/100+1)</f>
        <v>2639.8904400000001</v>
      </c>
      <c r="I440" s="740">
        <f>'Аксессуары (2)'!J440*1.5*($K$2/100+1)</f>
        <v>3299.8630499999995</v>
      </c>
      <c r="J440" s="741">
        <f>'Аксессуары (2)'!J440*1.8*($K$2/100+1)</f>
        <v>3959.8356599999997</v>
      </c>
    </row>
    <row r="441" spans="1:10" ht="14.95" customHeight="1">
      <c r="A441" s="414" t="s">
        <v>2149</v>
      </c>
      <c r="B441" s="737">
        <f>'Аксессуары (2)'!B441*1.3*($K$2/100+1)</f>
        <v>889.93733399999996</v>
      </c>
      <c r="C441" s="737">
        <f>'Аксессуары (2)'!C441*1.3*($K$2/100+1)</f>
        <v>988.81925999999976</v>
      </c>
      <c r="D441" s="737">
        <f>'Аксессуары (2)'!D441*1.3*($K$2/100+1)</f>
        <v>1087.701186</v>
      </c>
      <c r="E441" s="737">
        <f>'Аксессуары (2)'!E441*1.6*($K$2/100+1)</f>
        <v>1460.4099839999997</v>
      </c>
      <c r="F441" s="737">
        <f>'Аксессуары (2)'!F441*1.6*($K$2/100+1)</f>
        <v>1606.4509823999997</v>
      </c>
      <c r="G441" s="737">
        <f>'Аксессуары (2)'!G441*1.6*($K$2/100+1)</f>
        <v>1752.4919807999995</v>
      </c>
      <c r="H441" s="740">
        <f>'Аксессуары (2)'!H441*1.8*($K$2/100+1)</f>
        <v>2738.2687199999996</v>
      </c>
      <c r="I441" s="740">
        <f>'Аксессуары (2)'!J441*1.5*($K$2/100+1)</f>
        <v>3422.8358999999996</v>
      </c>
      <c r="J441" s="741">
        <f>'Аксессуары (2)'!J441*1.8*($K$2/100+1)</f>
        <v>4107.40308</v>
      </c>
    </row>
    <row r="442" spans="1:10" ht="14.95" customHeight="1">
      <c r="A442" s="414" t="s">
        <v>2150</v>
      </c>
      <c r="B442" s="737">
        <f>'Аксессуары (2)'!B442*1.3*($K$2/100+1)</f>
        <v>773.99150399999996</v>
      </c>
      <c r="C442" s="737">
        <f>'Аксессуары (2)'!C442*1.3*($K$2/100+1)</f>
        <v>859.99055999999996</v>
      </c>
      <c r="D442" s="737">
        <f>'Аксессуары (2)'!D442*1.3*($K$2/100+1)</f>
        <v>945.98961599999996</v>
      </c>
      <c r="E442" s="737">
        <f>'Аксессуары (2)'!E442*1.6*($K$2/100+1)</f>
        <v>1270.1399039999999</v>
      </c>
      <c r="F442" s="737">
        <f>'Аксессуары (2)'!F442*1.6*($K$2/100+1)</f>
        <v>1397.1538943999999</v>
      </c>
      <c r="G442" s="737">
        <f>'Аксессуары (2)'!G442*1.6*($K$2/100+1)</f>
        <v>1524.1678847999997</v>
      </c>
      <c r="H442" s="740">
        <f>'Аксессуары (2)'!H442*1.8*($K$2/100+1)</f>
        <v>2381.5123199999998</v>
      </c>
      <c r="I442" s="740">
        <f>'Аксессуары (2)'!J442*1.5*($K$2/100+1)</f>
        <v>2976.8904000000002</v>
      </c>
      <c r="J442" s="741">
        <f>'Аксессуары (2)'!J442*1.8*($K$2/100+1)</f>
        <v>3572.2684800000006</v>
      </c>
    </row>
    <row r="443" spans="1:10" ht="14.95" customHeight="1">
      <c r="A443" s="414" t="s">
        <v>2151</v>
      </c>
      <c r="B443" s="737">
        <f>'Аксессуары (2)'!B443*1.3*($K$2/100+1)</f>
        <v>756.42395399999998</v>
      </c>
      <c r="C443" s="737">
        <f>'Аксессуары (2)'!C443*1.3*($K$2/100+1)</f>
        <v>840.47105999999997</v>
      </c>
      <c r="D443" s="737">
        <f>'Аксессуары (2)'!D443*1.3*($K$2/100+1)</f>
        <v>924.51816600000006</v>
      </c>
      <c r="E443" s="737">
        <f>'Аксессуары (2)'!E443*1.6*($K$2/100+1)</f>
        <v>1241.3111039999999</v>
      </c>
      <c r="F443" s="737">
        <f>'Аксессуары (2)'!F443*1.6*($K$2/100+1)</f>
        <v>1365.4422143999998</v>
      </c>
      <c r="G443" s="737">
        <f>'Аксессуары (2)'!G443*1.6*($K$2/100+1)</f>
        <v>1489.5733247999999</v>
      </c>
      <c r="H443" s="740">
        <f>'Аксессуары (2)'!H443*1.8*($K$2/100+1)</f>
        <v>2327.4583199999997</v>
      </c>
      <c r="I443" s="740">
        <f>'Аксессуары (2)'!J443*1.5*($K$2/100+1)</f>
        <v>2909.3228999999997</v>
      </c>
      <c r="J443" s="741">
        <f>'Аксессуары (2)'!J443*1.8*($K$2/100+1)</f>
        <v>3491.1874800000001</v>
      </c>
    </row>
    <row r="444" spans="1:10" ht="14.95" customHeight="1">
      <c r="A444" s="414" t="s">
        <v>2152</v>
      </c>
      <c r="B444" s="737">
        <f>'Аксессуары (2)'!B444*1.3*($K$2/100+1)</f>
        <v>773.99150399999996</v>
      </c>
      <c r="C444" s="737">
        <f>'Аксессуары (2)'!C444*1.3*($K$2/100+1)</f>
        <v>859.99055999999996</v>
      </c>
      <c r="D444" s="737">
        <f>'Аксессуары (2)'!D444*1.3*($K$2/100+1)</f>
        <v>945.98961599999996</v>
      </c>
      <c r="E444" s="737">
        <f>'Аксессуары (2)'!E444*1.6*($K$2/100+1)</f>
        <v>1270.1399039999999</v>
      </c>
      <c r="F444" s="737">
        <f>'Аксессуары (2)'!F444*1.6*($K$2/100+1)</f>
        <v>1397.1538943999999</v>
      </c>
      <c r="G444" s="737">
        <f>'Аксессуары (2)'!G444*1.6*($K$2/100+1)</f>
        <v>1524.1678847999997</v>
      </c>
      <c r="H444" s="740">
        <f>'Аксессуары (2)'!H444*1.8*($K$2/100+1)</f>
        <v>2381.5123199999998</v>
      </c>
      <c r="I444" s="740">
        <f>'Аксессуары (2)'!J444*1.5*($K$2/100+1)</f>
        <v>2976.8904000000002</v>
      </c>
      <c r="J444" s="741">
        <f>'Аксессуары (2)'!J444*1.8*($K$2/100+1)</f>
        <v>3572.2684800000006</v>
      </c>
    </row>
    <row r="445" spans="1:10" ht="14.95" customHeight="1">
      <c r="A445" s="414" t="s">
        <v>2153</v>
      </c>
      <c r="B445" s="737">
        <f>'Аксессуары (2)'!B445*1.3*($K$2/100+1)</f>
        <v>809.12660399999982</v>
      </c>
      <c r="C445" s="737">
        <f>'Аксессуары (2)'!C445*1.3*($K$2/100+1)</f>
        <v>899.02955999999972</v>
      </c>
      <c r="D445" s="737">
        <f>'Аксессуары (2)'!D445*1.3*($K$2/100+1)</f>
        <v>988.93251599999985</v>
      </c>
      <c r="E445" s="737">
        <f>'Аксессуары (2)'!E445*1.6*($K$2/100+1)</f>
        <v>1327.7975039999997</v>
      </c>
      <c r="F445" s="737">
        <f>'Аксессуары (2)'!F445*1.6*($K$2/100+1)</f>
        <v>1460.5772543999999</v>
      </c>
      <c r="G445" s="737">
        <f>'Аксессуары (2)'!G445*1.6*($K$2/100+1)</f>
        <v>1593.3570047999997</v>
      </c>
      <c r="H445" s="740">
        <f>'Аксессуары (2)'!H445*1.8*($K$2/100+1)</f>
        <v>2489.6203199999995</v>
      </c>
      <c r="I445" s="740">
        <f>'Аксессуары (2)'!J445*1.5*($K$2/100+1)</f>
        <v>3112.0253999999991</v>
      </c>
      <c r="J445" s="741">
        <f>'Аксессуары (2)'!J445*1.8*($K$2/100+1)</f>
        <v>3734.4304799999991</v>
      </c>
    </row>
    <row r="446" spans="1:10" ht="14.95" customHeight="1">
      <c r="A446" s="414" t="s">
        <v>2154</v>
      </c>
      <c r="B446" s="737">
        <f>'Аксессуары (2)'!B446*1.3*($K$2/100+1)</f>
        <v>844.26170400000001</v>
      </c>
      <c r="C446" s="737">
        <f>'Аксессуары (2)'!C446*1.3*($K$2/100+1)</f>
        <v>938.06855999999993</v>
      </c>
      <c r="D446" s="737">
        <f>'Аксессуары (2)'!D446*1.3*($K$2/100+1)</f>
        <v>1031.8754160000001</v>
      </c>
      <c r="E446" s="737">
        <f>'Аксессуары (2)'!E446*1.6*($K$2/100+1)</f>
        <v>1385.4551039999999</v>
      </c>
      <c r="F446" s="737">
        <f>'Аксессуары (2)'!F446*1.6*($K$2/100+1)</f>
        <v>1524.0006143999999</v>
      </c>
      <c r="G446" s="737">
        <f>'Аксессуары (2)'!G446*1.6*($K$2/100+1)</f>
        <v>1662.5461247999999</v>
      </c>
      <c r="H446" s="740">
        <f>'Аксессуары (2)'!H446*1.8*($K$2/100+1)</f>
        <v>2597.7283199999997</v>
      </c>
      <c r="I446" s="740">
        <f>'Аксессуары (2)'!J446*1.5*($K$2/100+1)</f>
        <v>3247.1603999999998</v>
      </c>
      <c r="J446" s="741">
        <f>'Аксессуары (2)'!J446*1.8*($K$2/100+1)</f>
        <v>3896.5924799999993</v>
      </c>
    </row>
    <row r="447" spans="1:10" ht="14.95" customHeight="1">
      <c r="A447" s="414" t="s">
        <v>2155</v>
      </c>
      <c r="B447" s="737">
        <f>'Аксессуары (2)'!B447*1.3*($K$2/100+1)</f>
        <v>879.39680399999997</v>
      </c>
      <c r="C447" s="737">
        <f>'Аксессуары (2)'!C447*1.3*($K$2/100+1)</f>
        <v>977.10755999999981</v>
      </c>
      <c r="D447" s="737">
        <f>'Аксессуары (2)'!D447*1.3*($K$2/100+1)</f>
        <v>1074.8183159999999</v>
      </c>
      <c r="E447" s="737">
        <f>'Аксессуары (2)'!E447*1.6*($K$2/100+1)</f>
        <v>1443.1127039999997</v>
      </c>
      <c r="F447" s="737">
        <f>'Аксессуары (2)'!F447*1.6*($K$2/100+1)</f>
        <v>1587.4239743999999</v>
      </c>
      <c r="G447" s="737">
        <f>'Аксессуары (2)'!G447*1.6*($K$2/100+1)</f>
        <v>1731.7352447999995</v>
      </c>
      <c r="H447" s="740">
        <f>'Аксессуары (2)'!H447*1.8*($K$2/100+1)</f>
        <v>2705.8363199999999</v>
      </c>
      <c r="I447" s="740">
        <f>'Аксессуары (2)'!J447*1.5*($K$2/100+1)</f>
        <v>3382.2953999999995</v>
      </c>
      <c r="J447" s="741">
        <f>'Аксессуары (2)'!J447*1.8*($K$2/100+1)</f>
        <v>4058.7544799999991</v>
      </c>
    </row>
    <row r="448" spans="1:10" ht="14.95" customHeight="1" thickBot="1">
      <c r="A448" s="415" t="s">
        <v>2156</v>
      </c>
      <c r="B448" s="737">
        <f>'Аксессуары (2)'!B448*1.3*($K$2/100+1)</f>
        <v>928.58594399999993</v>
      </c>
      <c r="C448" s="737">
        <f>'Аксессуары (2)'!C448*1.3*($K$2/100+1)</f>
        <v>1031.7621599999998</v>
      </c>
      <c r="D448" s="737">
        <f>'Аксессуары (2)'!D448*1.3*($K$2/100+1)</f>
        <v>1134.9383760000001</v>
      </c>
      <c r="E448" s="737">
        <f>'Аксессуары (2)'!E448*1.6*($K$2/100+1)</f>
        <v>1523.8333439999997</v>
      </c>
      <c r="F448" s="737">
        <f>'Аксессуары (2)'!F448*1.6*($K$2/100+1)</f>
        <v>1676.2166783999999</v>
      </c>
      <c r="G448" s="737">
        <f>'Аксессуары (2)'!G448*1.6*($K$2/100+1)</f>
        <v>1828.6000127999996</v>
      </c>
      <c r="H448" s="742">
        <f>'Аксессуары (2)'!H448*1.8*($K$2/100+1)</f>
        <v>2857.1875199999999</v>
      </c>
      <c r="I448" s="742">
        <f>'Аксессуары (2)'!J448*1.5*($K$2/100+1)</f>
        <v>3571.4843999999998</v>
      </c>
      <c r="J448" s="743">
        <f>'Аксессуары (2)'!J448*1.8*($K$2/100+1)</f>
        <v>4285.7812799999992</v>
      </c>
    </row>
    <row r="449" spans="1:10" s="254" customFormat="1" ht="14.95" customHeight="1" thickBot="1">
      <c r="A449" s="611" t="s">
        <v>2157</v>
      </c>
      <c r="B449" s="845"/>
      <c r="C449" s="846"/>
      <c r="D449" s="846"/>
      <c r="E449" s="846"/>
      <c r="F449" s="846"/>
      <c r="G449" s="846"/>
      <c r="H449" s="846"/>
      <c r="I449" s="846"/>
      <c r="J449" s="847"/>
    </row>
    <row r="450" spans="1:10" ht="14.95" customHeight="1">
      <c r="A450" s="423" t="s">
        <v>3294</v>
      </c>
      <c r="B450" s="737">
        <f>'Аксессуары (2)'!B450*1.3*($K$2/100+1)</f>
        <v>140.07321899999999</v>
      </c>
      <c r="C450" s="737">
        <f>'Аксессуары (2)'!C450*1.3*($K$2/100+1)</f>
        <v>155.63690999999997</v>
      </c>
      <c r="D450" s="737">
        <f>'Аксессуары (2)'!D450*1.3*($K$2/100+1)</f>
        <v>171.20060100000001</v>
      </c>
      <c r="E450" s="737">
        <f>'Аксессуары (2)'!E450*1.6*($K$2/100+1)</f>
        <v>229.863744</v>
      </c>
      <c r="F450" s="737">
        <f>'Аксессуары (2)'!F450*1.6*($K$2/100+1)</f>
        <v>252.85011840000001</v>
      </c>
      <c r="G450" s="737">
        <f>'Аксессуары (2)'!G450*1.6*($K$2/100+1)</f>
        <v>275.83649279999997</v>
      </c>
      <c r="H450" s="738">
        <f>'Аксессуары (2)'!H450*1.8*($K$2/100+1)</f>
        <v>430.99451999999997</v>
      </c>
      <c r="I450" s="738">
        <f>'Аксессуары (2)'!J450*1.48*($K$2/100+1)</f>
        <v>531.55990799999995</v>
      </c>
      <c r="J450" s="739">
        <f>'Аксессуары (2)'!J450*1.8*($K$2/100+1)</f>
        <v>646.49177999999995</v>
      </c>
    </row>
    <row r="451" spans="1:10" ht="14.95" customHeight="1">
      <c r="A451" s="414" t="s">
        <v>3295</v>
      </c>
      <c r="B451" s="737">
        <f>'Аксессуары (2)'!B451*1.3*($K$2/100+1)</f>
        <v>147.45159000000001</v>
      </c>
      <c r="C451" s="737">
        <f>'Аксессуары (2)'!C451*1.3*($K$2/100+1)</f>
        <v>163.83509999999998</v>
      </c>
      <c r="D451" s="737">
        <f>'Аксессуары (2)'!D451*1.3*($K$2/100+1)</f>
        <v>180.21860999999998</v>
      </c>
      <c r="E451" s="737">
        <f>'Аксессуары (2)'!E451*1.6*($K$2/100+1)</f>
        <v>241.97183999999999</v>
      </c>
      <c r="F451" s="737">
        <f>'Аксессуары (2)'!F451*1.6*($K$2/100+1)</f>
        <v>266.16902400000004</v>
      </c>
      <c r="G451" s="737">
        <f>'Аксессуары (2)'!G451*1.6*($K$2/100+1)</f>
        <v>290.36620799999997</v>
      </c>
      <c r="H451" s="740">
        <f>'Аксессуары (2)'!H451*1.8*($K$2/100+1)</f>
        <v>453.69720000000001</v>
      </c>
      <c r="I451" s="740">
        <f>'Аксессуары (2)'!J451*1.48*($K$2/100+1)</f>
        <v>559.55987999999991</v>
      </c>
      <c r="J451" s="741">
        <f>'Аксессуары (2)'!J451*1.8*($K$2/100+1)</f>
        <v>680.54579999999999</v>
      </c>
    </row>
    <row r="452" spans="1:10" ht="14.95" customHeight="1">
      <c r="A452" s="414" t="s">
        <v>3296</v>
      </c>
      <c r="B452" s="737">
        <f>'Аксессуары (2)'!B452*1.3*($K$2/100+1)</f>
        <v>158.16779549999998</v>
      </c>
      <c r="C452" s="737">
        <f>'Аксессуары (2)'!C452*1.3*($K$2/100+1)</f>
        <v>175.741995</v>
      </c>
      <c r="D452" s="737">
        <f>'Аксессуары (2)'!D452*1.3*($K$2/100+1)</f>
        <v>193.31619449999999</v>
      </c>
      <c r="E452" s="737">
        <f>'Аксессуары (2)'!E452*1.6*($K$2/100+1)</f>
        <v>259.55740800000001</v>
      </c>
      <c r="F452" s="737">
        <f>'Аксессуары (2)'!F452*1.6*($K$2/100+1)</f>
        <v>285.51314880000001</v>
      </c>
      <c r="G452" s="737">
        <f>'Аксессуары (2)'!G452*1.6*($K$2/100+1)</f>
        <v>311.46888960000001</v>
      </c>
      <c r="H452" s="740">
        <f>'Аксессуары (2)'!H452*1.8*($K$2/100+1)</f>
        <v>486.67013999999995</v>
      </c>
      <c r="I452" s="740">
        <f>'Аксессуары (2)'!J452*1.48*($K$2/100+1)</f>
        <v>600.22650599999997</v>
      </c>
      <c r="J452" s="741">
        <f>'Аксессуары (2)'!J452*1.8*($K$2/100+1)</f>
        <v>730.00521000000003</v>
      </c>
    </row>
    <row r="453" spans="1:10" ht="14.95" customHeight="1">
      <c r="A453" s="414" t="s">
        <v>3298</v>
      </c>
      <c r="B453" s="737">
        <f>'Аксессуары (2)'!B453*1.3*($K$2/100+1)</f>
        <v>179.24885549999999</v>
      </c>
      <c r="C453" s="737">
        <f>'Аксессуары (2)'!C453*1.3*($K$2/100+1)</f>
        <v>199.16539499999999</v>
      </c>
      <c r="D453" s="737">
        <f>'Аксессуары (2)'!D453*1.3*($K$2/100+1)</f>
        <v>219.08193450000002</v>
      </c>
      <c r="E453" s="737">
        <f>'Аксессуары (2)'!E453*1.6*($K$2/100+1)</f>
        <v>294.15196800000001</v>
      </c>
      <c r="F453" s="737">
        <f>'Аксессуары (2)'!F453*1.6*($K$2/100+1)</f>
        <v>323.5671648</v>
      </c>
      <c r="G453" s="737">
        <f>'Аксессуары (2)'!G453*1.6*($K$2/100+1)</f>
        <v>352.98236159999993</v>
      </c>
      <c r="H453" s="740">
        <f>'Аксессуары (2)'!H453*1.8*($K$2/100+1)</f>
        <v>551.53494000000001</v>
      </c>
      <c r="I453" s="740">
        <f>'Аксессуары (2)'!J453*1.48*($K$2/100+1)</f>
        <v>680.22642599999995</v>
      </c>
      <c r="J453" s="741">
        <f>'Аксессуары (2)'!J453*1.8*($K$2/100+1)</f>
        <v>827.3024099999999</v>
      </c>
    </row>
    <row r="454" spans="1:10" ht="14.95" customHeight="1">
      <c r="A454" s="414" t="s">
        <v>3297</v>
      </c>
      <c r="B454" s="737">
        <f>'Аксессуары (2)'!B454*1.3*($K$2/100+1)</f>
        <v>208.93801500000004</v>
      </c>
      <c r="C454" s="737">
        <f>'Аксессуары (2)'!C454*1.3*($K$2/100+1)</f>
        <v>232.15335000000002</v>
      </c>
      <c r="D454" s="737">
        <f>'Аксессуары (2)'!D454*1.3*($K$2/100+1)</f>
        <v>255.36868500000003</v>
      </c>
      <c r="E454" s="737">
        <f>'Аксессуары (2)'!E454*1.6*($K$2/100+1)</f>
        <v>342.87263999999999</v>
      </c>
      <c r="F454" s="737">
        <f>'Аксессуары (2)'!F454*1.6*($K$2/100+1)</f>
        <v>377.15990400000004</v>
      </c>
      <c r="G454" s="737">
        <f>'Аксессуары (2)'!G454*1.6*($K$2/100+1)</f>
        <v>411.44716800000003</v>
      </c>
      <c r="H454" s="740">
        <f>'Аксессуары (2)'!H454*1.8*($K$2/100+1)</f>
        <v>642.88620000000003</v>
      </c>
      <c r="I454" s="740">
        <f>'Аксессуары (2)'!J454*1.48*($K$2/100+1)</f>
        <v>792.89297999999997</v>
      </c>
      <c r="J454" s="741">
        <f>'Аксессуары (2)'!J454*1.8*($K$2/100+1)</f>
        <v>964.32929999999999</v>
      </c>
    </row>
    <row r="455" spans="1:10" ht="14.95" customHeight="1">
      <c r="A455" s="414" t="s">
        <v>3299</v>
      </c>
      <c r="B455" s="737">
        <f>'Аксессуары (2)'!B455*1.3*($K$2/100+1)</f>
        <v>238.80285000000001</v>
      </c>
      <c r="C455" s="737">
        <f>'Аксессуары (2)'!C455*1.3*($K$2/100+1)</f>
        <v>265.3365</v>
      </c>
      <c r="D455" s="737">
        <f>'Аксессуары (2)'!D455*1.3*($K$2/100+1)</f>
        <v>291.87014999999997</v>
      </c>
      <c r="E455" s="737">
        <f>'Аксессуары (2)'!E455*1.6*($K$2/100+1)</f>
        <v>391.88159999999993</v>
      </c>
      <c r="F455" s="737">
        <f>'Аксессуары (2)'!F455*1.6*($K$2/100+1)</f>
        <v>431.06975999999992</v>
      </c>
      <c r="G455" s="737">
        <f>'Аксессуары (2)'!G455*1.6*($K$2/100+1)</f>
        <v>470.25791999999984</v>
      </c>
      <c r="H455" s="740">
        <f>'Аксессуары (2)'!H455*1.8*($K$2/100+1)</f>
        <v>734.77799999999991</v>
      </c>
      <c r="I455" s="740">
        <f>'Аксессуары (2)'!J455*1.48*($K$2/100+1)</f>
        <v>906.22619999999984</v>
      </c>
      <c r="J455" s="741">
        <f>'Аксессуары (2)'!J455*1.8*($K$2/100+1)</f>
        <v>1102.1669999999997</v>
      </c>
    </row>
    <row r="456" spans="1:10" ht="14.95" customHeight="1">
      <c r="A456" s="414" t="s">
        <v>3300</v>
      </c>
      <c r="B456" s="737">
        <f>'Аксессуары (2)'!B456*1.3*($K$2/100+1)</f>
        <v>270.60011549999996</v>
      </c>
      <c r="C456" s="737">
        <f>'Аксессуары (2)'!C456*1.3*($K$2/100+1)</f>
        <v>300.66679499999998</v>
      </c>
      <c r="D456" s="737">
        <f>'Аксессуары (2)'!D456*1.3*($K$2/100+1)</f>
        <v>330.73347449999994</v>
      </c>
      <c r="E456" s="737">
        <f>'Аксессуары (2)'!E456*1.6*($K$2/100+1)</f>
        <v>444.06172799999996</v>
      </c>
      <c r="F456" s="737">
        <f>'Аксессуары (2)'!F456*1.6*($K$2/100+1)</f>
        <v>488.46790079999988</v>
      </c>
      <c r="G456" s="737">
        <f>'Аксессуары (2)'!G456*1.6*($K$2/100+1)</f>
        <v>532.87407359999997</v>
      </c>
      <c r="H456" s="740">
        <f>'Аксессуары (2)'!H456*1.8*($K$2/100+1)</f>
        <v>832.61573999999996</v>
      </c>
      <c r="I456" s="740">
        <f>'Аксессуары (2)'!J456*1.48*($K$2/100+1)</f>
        <v>1026.892746</v>
      </c>
      <c r="J456" s="741">
        <f>'Аксессуары (2)'!J456*1.8*($K$2/100+1)</f>
        <v>1248.9236100000001</v>
      </c>
    </row>
    <row r="457" spans="1:10" ht="14.95" customHeight="1">
      <c r="A457" s="414" t="s">
        <v>3301</v>
      </c>
      <c r="B457" s="737">
        <f>'Аксессуары (2)'!B457*1.3*($K$2/100+1)</f>
        <v>360.19462050000004</v>
      </c>
      <c r="C457" s="737">
        <f>'Аксессуары (2)'!C457*1.3*($K$2/100+1)</f>
        <v>400.21624500000001</v>
      </c>
      <c r="D457" s="737">
        <f>'Аксессуары (2)'!D457*1.3*($K$2/100+1)</f>
        <v>440.2378695000001</v>
      </c>
      <c r="E457" s="737">
        <f>'Аксессуары (2)'!E457*1.6*($K$2/100+1)</f>
        <v>591.08860800000002</v>
      </c>
      <c r="F457" s="737">
        <f>'Аксессуары (2)'!F457*1.6*($K$2/100+1)</f>
        <v>650.19746880000014</v>
      </c>
      <c r="G457" s="737">
        <f>'Аксессуары (2)'!G457*1.6*($K$2/100+1)</f>
        <v>709.30632960000014</v>
      </c>
      <c r="H457" s="740">
        <f>'Аксессуары (2)'!H457*1.8*($K$2/100+1)</f>
        <v>1108.29114</v>
      </c>
      <c r="I457" s="740">
        <f>'Аксессуары (2)'!J457*1.48*($K$2/100+1)</f>
        <v>1366.8924059999999</v>
      </c>
      <c r="J457" s="741">
        <f>'Аксессуары (2)'!J457*1.8*($K$2/100+1)</f>
        <v>1662.4367100000002</v>
      </c>
    </row>
    <row r="458" spans="1:10" ht="14.95" customHeight="1" thickBot="1">
      <c r="A458" s="415" t="s">
        <v>3302</v>
      </c>
      <c r="B458" s="737">
        <f>'Аксессуары (2)'!B458*1.3*($K$2/100+1)</f>
        <v>462.78911249999999</v>
      </c>
      <c r="C458" s="737">
        <f>'Аксессуары (2)'!C458*1.3*($K$2/100+1)</f>
        <v>514.21012499999995</v>
      </c>
      <c r="D458" s="737">
        <f>'Аксессуары (2)'!D458*1.3*($K$2/100+1)</f>
        <v>565.63113750000002</v>
      </c>
      <c r="E458" s="737">
        <f>'Аксессуары (2)'!E458*1.6*($K$2/100+1)</f>
        <v>759.44879999999989</v>
      </c>
      <c r="F458" s="737">
        <f>'Аксессуары (2)'!F458*1.6*($K$2/100+1)</f>
        <v>835.39367999999979</v>
      </c>
      <c r="G458" s="737">
        <f>'Аксессуары (2)'!G458*1.6*($K$2/100+1)</f>
        <v>911.3385599999998</v>
      </c>
      <c r="H458" s="742">
        <f>'Аксессуары (2)'!H458*1.8*($K$2/100+1)</f>
        <v>1423.9665</v>
      </c>
      <c r="I458" s="742">
        <f>'Аксессуары (2)'!J458*1.48*($K$2/100+1)</f>
        <v>1756.2253499999997</v>
      </c>
      <c r="J458" s="743">
        <f>'Аксессуары (2)'!J458*1.8*($K$2/100+1)</f>
        <v>2135.9497499999998</v>
      </c>
    </row>
    <row r="459" spans="1:10" s="254" customFormat="1" ht="14.95" customHeight="1" thickBot="1">
      <c r="A459" s="615" t="s">
        <v>2158</v>
      </c>
      <c r="B459" s="842"/>
      <c r="C459" s="843"/>
      <c r="D459" s="843"/>
      <c r="E459" s="843"/>
      <c r="F459" s="843"/>
      <c r="G459" s="843"/>
      <c r="H459" s="843"/>
      <c r="I459" s="843"/>
      <c r="J459" s="844"/>
    </row>
    <row r="460" spans="1:10" ht="14.95" customHeight="1">
      <c r="A460" s="413" t="s">
        <v>378</v>
      </c>
      <c r="B460" s="737">
        <f>'Аксессуары (2)'!B460*1.3*($K$2/100+1)</f>
        <v>282.0788685</v>
      </c>
      <c r="C460" s="737">
        <f>'Аксессуары (2)'!C460*1.3*($K$2/100+1)</f>
        <v>313.42096499999997</v>
      </c>
      <c r="D460" s="737">
        <f>'Аксессуары (2)'!D460*1.3*($K$2/100+1)</f>
        <v>344.76306149999999</v>
      </c>
      <c r="E460" s="737">
        <f>'Аксессуары (2)'!E460*1.6*($K$2/100+1)</f>
        <v>462.89865600000002</v>
      </c>
      <c r="F460" s="737">
        <f>'Аксессуары (2)'!F460*1.6*($K$2/100+1)</f>
        <v>509.1885216</v>
      </c>
      <c r="G460" s="737">
        <f>'Аксессуары (2)'!G460*1.6*($K$2/100+1)</f>
        <v>555.47838719999993</v>
      </c>
      <c r="H460" s="738">
        <f>'Аксессуары (2)'!H460*1.8*($K$2/100+1)</f>
        <v>867.93498</v>
      </c>
      <c r="I460" s="738">
        <f>'Аксессуары (2)'!J460*1.5*($K$2/100+1)</f>
        <v>1084.9187249999998</v>
      </c>
      <c r="J460" s="739">
        <f>'Аксессуары (2)'!J460*1.8*($K$2/100+1)</f>
        <v>1301.90247</v>
      </c>
    </row>
    <row r="461" spans="1:10" ht="14.95" customHeight="1">
      <c r="A461" s="424" t="s">
        <v>379</v>
      </c>
      <c r="B461" s="737">
        <f>'Аксессуары (2)'!B461*1.3*($K$2/100+1)</f>
        <v>276.28157700000003</v>
      </c>
      <c r="C461" s="737">
        <f>'Аксессуары (2)'!C461*1.3*($K$2/100+1)</f>
        <v>306.97953000000001</v>
      </c>
      <c r="D461" s="737">
        <f>'Аксессуары (2)'!D461*1.3*($K$2/100+1)</f>
        <v>337.67748300000005</v>
      </c>
      <c r="E461" s="737">
        <f>'Аксессуары (2)'!E461*1.6*($K$2/100+1)</f>
        <v>453.38515200000001</v>
      </c>
      <c r="F461" s="737">
        <f>'Аксессуары (2)'!F461*1.6*($K$2/100+1)</f>
        <v>498.72366720000008</v>
      </c>
      <c r="G461" s="737">
        <f>'Аксессуары (2)'!G461*1.6*($K$2/100+1)</f>
        <v>544.06218239999987</v>
      </c>
      <c r="H461" s="740">
        <f>'Аксессуары (2)'!H461*1.8*($K$2/100+1)</f>
        <v>850.09716000000003</v>
      </c>
      <c r="I461" s="740">
        <f>'Аксессуары (2)'!J461*1.5*($K$2/100+1)</f>
        <v>1062.6214499999999</v>
      </c>
      <c r="J461" s="741">
        <f>'Аксессуары (2)'!J461*1.8*($K$2/100+1)</f>
        <v>1275.1457399999999</v>
      </c>
    </row>
    <row r="462" spans="1:10" ht="14.95" customHeight="1">
      <c r="A462" s="424" t="s">
        <v>380</v>
      </c>
      <c r="B462" s="737">
        <f>'Аксессуары (2)'!B462*1.3*($K$2/100+1)</f>
        <v>286.64643150000001</v>
      </c>
      <c r="C462" s="737">
        <f>'Аксессуары (2)'!C462*1.3*($K$2/100+1)</f>
        <v>318.49603500000001</v>
      </c>
      <c r="D462" s="737">
        <f>'Аксессуары (2)'!D462*1.3*($K$2/100+1)</f>
        <v>350.34563850000001</v>
      </c>
      <c r="E462" s="737">
        <f>'Аксессуары (2)'!E462*1.6*($K$2/100+1)</f>
        <v>470.39414399999998</v>
      </c>
      <c r="F462" s="737">
        <f>'Аксессуары (2)'!F462*1.6*($K$2/100+1)</f>
        <v>517.43355840000004</v>
      </c>
      <c r="G462" s="737">
        <f>'Аксессуары (2)'!G462*1.6*($K$2/100+1)</f>
        <v>564.47297279999998</v>
      </c>
      <c r="H462" s="740">
        <f>'Аксессуары (2)'!H462*1.8*($K$2/100+1)</f>
        <v>881.98901999999998</v>
      </c>
      <c r="I462" s="740">
        <f>'Аксессуары (2)'!J462*1.5*($K$2/100+1)</f>
        <v>1102.486275</v>
      </c>
      <c r="J462" s="741">
        <f>'Аксессуары (2)'!J462*1.8*($K$2/100+1)</f>
        <v>1322.98353</v>
      </c>
    </row>
    <row r="463" spans="1:10" ht="14.95" customHeight="1">
      <c r="A463" s="424" t="s">
        <v>381</v>
      </c>
      <c r="B463" s="737">
        <f>'Аксессуары (2)'!B463*1.3*($K$2/100+1)</f>
        <v>285.41670300000004</v>
      </c>
      <c r="C463" s="737">
        <f>'Аксессуары (2)'!C463*1.3*($K$2/100+1)</f>
        <v>317.12966999999998</v>
      </c>
      <c r="D463" s="737">
        <f>'Аксессуары (2)'!D463*1.3*($K$2/100+1)</f>
        <v>348.84263700000002</v>
      </c>
      <c r="E463" s="737">
        <f>'Аксессуары (2)'!E463*1.6*($K$2/100+1)</f>
        <v>468.37612799999999</v>
      </c>
      <c r="F463" s="737">
        <f>'Аксессуары (2)'!F463*1.6*($K$2/100+1)</f>
        <v>515.21374079999998</v>
      </c>
      <c r="G463" s="737">
        <f>'Аксессуары (2)'!G463*1.6*($K$2/100+1)</f>
        <v>562.05135359999997</v>
      </c>
      <c r="H463" s="740">
        <f>'Аксессуары (2)'!H463*1.8*($K$2/100+1)</f>
        <v>878.20524000000012</v>
      </c>
      <c r="I463" s="740">
        <f>'Аксессуары (2)'!J463*1.5*($K$2/100+1)</f>
        <v>1097.7565500000001</v>
      </c>
      <c r="J463" s="741">
        <f>'Аксессуары (2)'!J463*1.8*($K$2/100+1)</f>
        <v>1317.3078600000001</v>
      </c>
    </row>
    <row r="464" spans="1:10" ht="14.95" customHeight="1">
      <c r="A464" s="424" t="s">
        <v>382</v>
      </c>
      <c r="B464" s="737">
        <f>'Аксессуары (2)'!B464*1.3*($K$2/100+1)</f>
        <v>301.57884899999999</v>
      </c>
      <c r="C464" s="737">
        <f>'Аксессуары (2)'!C464*1.3*($K$2/100+1)</f>
        <v>335.08760999999993</v>
      </c>
      <c r="D464" s="737">
        <f>'Аксессуары (2)'!D464*1.3*($K$2/100+1)</f>
        <v>368.59637099999998</v>
      </c>
      <c r="E464" s="737">
        <f>'Аксессуары (2)'!E464*1.6*($K$2/100+1)</f>
        <v>494.89862399999998</v>
      </c>
      <c r="F464" s="737">
        <f>'Аксессуары (2)'!F464*1.6*($K$2/100+1)</f>
        <v>544.38848639999992</v>
      </c>
      <c r="G464" s="737">
        <f>'Аксессуары (2)'!G464*1.6*($K$2/100+1)</f>
        <v>593.8783487999998</v>
      </c>
      <c r="H464" s="740">
        <f>'Аксессуары (2)'!H464*1.8*($K$2/100+1)</f>
        <v>927.93491999999981</v>
      </c>
      <c r="I464" s="740">
        <f>'Аксессуары (2)'!J464*1.5*($K$2/100+1)</f>
        <v>1159.9186499999998</v>
      </c>
      <c r="J464" s="741">
        <f>'Аксессуары (2)'!J464*1.8*($K$2/100+1)</f>
        <v>1391.90238</v>
      </c>
    </row>
    <row r="465" spans="1:10" ht="14.95" customHeight="1">
      <c r="A465" s="424" t="s">
        <v>383</v>
      </c>
      <c r="B465" s="737">
        <f>'Аксессуары (2)'!B465*1.3*($K$2/100+1)</f>
        <v>302.10587549999991</v>
      </c>
      <c r="C465" s="737">
        <f>'Аксессуары (2)'!C465*1.3*($K$2/100+1)</f>
        <v>335.67319499999996</v>
      </c>
      <c r="D465" s="737">
        <f>'Аксессуары (2)'!D465*1.3*($K$2/100+1)</f>
        <v>369.24051449999996</v>
      </c>
      <c r="E465" s="737">
        <f>'Аксессуары (2)'!E465*1.6*($K$2/100+1)</f>
        <v>495.76348799999988</v>
      </c>
      <c r="F465" s="737">
        <f>'Аксессуары (2)'!F465*1.6*($K$2/100+1)</f>
        <v>545.33983680000006</v>
      </c>
      <c r="G465" s="737">
        <f>'Аксессуары (2)'!G465*1.6*($K$2/100+1)</f>
        <v>594.91618559999995</v>
      </c>
      <c r="H465" s="740">
        <f>'Аксессуары (2)'!H465*1.8*($K$2/100+1)</f>
        <v>929.55653999999981</v>
      </c>
      <c r="I465" s="740">
        <f>'Аксессуары (2)'!J465*1.5*($K$2/100+1)</f>
        <v>1161.9456749999999</v>
      </c>
      <c r="J465" s="741">
        <f>'Аксессуары (2)'!J465*1.8*($K$2/100+1)</f>
        <v>1394.3348099999998</v>
      </c>
    </row>
    <row r="466" spans="1:10" ht="14.95" customHeight="1">
      <c r="A466" s="424" t="s">
        <v>384</v>
      </c>
      <c r="B466" s="737">
        <f>'Аксессуары (2)'!B466*1.3*($K$2/100+1)</f>
        <v>299.64641849999998</v>
      </c>
      <c r="C466" s="737">
        <f>'Аксессуары (2)'!C466*1.3*($K$2/100+1)</f>
        <v>332.94046499999996</v>
      </c>
      <c r="D466" s="737">
        <f>'Аксессуары (2)'!D466*1.3*($K$2/100+1)</f>
        <v>366.2345115</v>
      </c>
      <c r="E466" s="737">
        <f>'Аксессуары (2)'!E466*1.6*($K$2/100+1)</f>
        <v>491.72745599999996</v>
      </c>
      <c r="F466" s="737">
        <f>'Аксессуары (2)'!F466*1.6*($K$2/100+1)</f>
        <v>540.90020159999995</v>
      </c>
      <c r="G466" s="737">
        <f>'Аксессуары (2)'!G466*1.6*($K$2/100+1)</f>
        <v>590.07294719999993</v>
      </c>
      <c r="H466" s="740">
        <f>'Аксессуары (2)'!H466*1.8*($K$2/100+1)</f>
        <v>921.98897999999997</v>
      </c>
      <c r="I466" s="740">
        <f>'Аксессуары (2)'!J466*1.5*($K$2/100+1)</f>
        <v>1152.4862249999999</v>
      </c>
      <c r="J466" s="741">
        <f>'Аксессуары (2)'!J466*1.8*($K$2/100+1)</f>
        <v>1382.9834699999999</v>
      </c>
    </row>
    <row r="467" spans="1:10" ht="14.95" customHeight="1">
      <c r="A467" s="424" t="s">
        <v>385</v>
      </c>
      <c r="B467" s="737">
        <f>'Аксессуары (2)'!B467*1.3*($K$2/100+1)</f>
        <v>320.02477649999997</v>
      </c>
      <c r="C467" s="737">
        <f>'Аксессуары (2)'!C467*1.3*($K$2/100+1)</f>
        <v>355.58308499999998</v>
      </c>
      <c r="D467" s="737">
        <f>'Аксессуары (2)'!D467*1.3*($K$2/100+1)</f>
        <v>391.14139349999999</v>
      </c>
      <c r="E467" s="737">
        <f>'Аксессуары (2)'!E467*1.6*($K$2/100+1)</f>
        <v>525.16886399999999</v>
      </c>
      <c r="F467" s="737">
        <f>'Аксессуары (2)'!F467*1.6*($K$2/100+1)</f>
        <v>577.68575039999996</v>
      </c>
      <c r="G467" s="737">
        <f>'Аксессуары (2)'!G467*1.6*($K$2/100+1)</f>
        <v>630.20263679999994</v>
      </c>
      <c r="H467" s="740">
        <f>'Аксессуары (2)'!H467*1.8*($K$2/100+1)</f>
        <v>984.69161999999983</v>
      </c>
      <c r="I467" s="740">
        <f>'Аксессуары (2)'!J467*1.5*($K$2/100+1)</f>
        <v>1230.8645249999997</v>
      </c>
      <c r="J467" s="741">
        <f>'Аксессуары (2)'!J467*1.8*($K$2/100+1)</f>
        <v>1477.0374299999999</v>
      </c>
    </row>
    <row r="468" spans="1:10" ht="14.95" customHeight="1">
      <c r="A468" s="424" t="s">
        <v>386</v>
      </c>
      <c r="B468" s="737">
        <f>'Аксессуары (2)'!B468*1.3*($K$2/100+1)</f>
        <v>318.09234600000002</v>
      </c>
      <c r="C468" s="737">
        <f>'Аксессуары (2)'!C468*1.3*($K$2/100+1)</f>
        <v>353.43593999999996</v>
      </c>
      <c r="D468" s="737">
        <f>'Аксессуары (2)'!D468*1.3*($K$2/100+1)</f>
        <v>388.77953400000001</v>
      </c>
      <c r="E468" s="737">
        <f>'Аксессуары (2)'!E468*1.6*($K$2/100+1)</f>
        <v>521.99769599999991</v>
      </c>
      <c r="F468" s="737">
        <f>'Аксессуары (2)'!F468*1.6*($K$2/100+1)</f>
        <v>574.19746559999999</v>
      </c>
      <c r="G468" s="737">
        <f>'Аксессуары (2)'!G468*1.6*($K$2/100+1)</f>
        <v>626.39723519999995</v>
      </c>
      <c r="H468" s="740">
        <f>'Аксессуары (2)'!H468*1.8*($K$2/100+1)</f>
        <v>978.74567999999999</v>
      </c>
      <c r="I468" s="740">
        <f>'Аксессуары (2)'!J468*1.5*($K$2/100+1)</f>
        <v>1223.4320999999998</v>
      </c>
      <c r="J468" s="741">
        <f>'Аксессуары (2)'!J468*1.8*($K$2/100+1)</f>
        <v>1468.1185199999998</v>
      </c>
    </row>
    <row r="469" spans="1:10" ht="14.95" customHeight="1">
      <c r="A469" s="424" t="s">
        <v>387</v>
      </c>
      <c r="B469" s="737">
        <f>'Аксессуары (2)'!B469*1.3*($K$2/100+1)</f>
        <v>333.20043900000002</v>
      </c>
      <c r="C469" s="737">
        <f>'Аксессуары (2)'!C469*1.3*($K$2/100+1)</f>
        <v>370.22271000000001</v>
      </c>
      <c r="D469" s="737">
        <f>'Аксессуары (2)'!D469*1.3*($K$2/100+1)</f>
        <v>407.24498100000005</v>
      </c>
      <c r="E469" s="737">
        <f>'Аксессуары (2)'!E469*1.6*($K$2/100+1)</f>
        <v>546.79046400000004</v>
      </c>
      <c r="F469" s="737">
        <f>'Аксессуары (2)'!F469*1.6*($K$2/100+1)</f>
        <v>601.4695104000001</v>
      </c>
      <c r="G469" s="737">
        <f>'Аксессуары (2)'!G469*1.6*($K$2/100+1)</f>
        <v>656.14855679999994</v>
      </c>
      <c r="H469" s="740">
        <f>'Аксессуары (2)'!H469*1.8*($K$2/100+1)</f>
        <v>1025.2321200000001</v>
      </c>
      <c r="I469" s="740">
        <f>'Аксессуары (2)'!J469*1.5*($K$2/100+1)</f>
        <v>1281.5401500000003</v>
      </c>
      <c r="J469" s="741">
        <f>'Аксессуары (2)'!J469*1.8*($K$2/100+1)</f>
        <v>1537.8481800000002</v>
      </c>
    </row>
    <row r="470" spans="1:10" ht="14.95" customHeight="1">
      <c r="A470" s="424" t="s">
        <v>388</v>
      </c>
      <c r="B470" s="737">
        <f>'Аксессуары (2)'!B470*1.3*($K$2/100+1)</f>
        <v>334.7815185</v>
      </c>
      <c r="C470" s="737">
        <f>'Аксессуары (2)'!C470*1.3*($K$2/100+1)</f>
        <v>371.979465</v>
      </c>
      <c r="D470" s="737">
        <f>'Аксессуары (2)'!D470*1.3*($K$2/100+1)</f>
        <v>409.17741150000001</v>
      </c>
      <c r="E470" s="737">
        <f>'Аксессуары (2)'!E470*1.6*($K$2/100+1)</f>
        <v>549.38505599999996</v>
      </c>
      <c r="F470" s="737">
        <f>'Аксессуары (2)'!F470*1.6*($K$2/100+1)</f>
        <v>604.32356159999995</v>
      </c>
      <c r="G470" s="737">
        <f>'Аксессуары (2)'!G470*1.6*($K$2/100+1)</f>
        <v>659.26206719999993</v>
      </c>
      <c r="H470" s="740">
        <f>'Аксессуары (2)'!H470*1.8*($K$2/100+1)</f>
        <v>1030.09698</v>
      </c>
      <c r="I470" s="740">
        <f>'Аксессуары (2)'!J470*1.5*($K$2/100+1)</f>
        <v>1287.6212249999999</v>
      </c>
      <c r="J470" s="741">
        <f>'Аксессуары (2)'!J470*1.8*($K$2/100+1)</f>
        <v>1545.1454699999997</v>
      </c>
    </row>
    <row r="471" spans="1:10" ht="14.95" customHeight="1">
      <c r="A471" s="424" t="s">
        <v>389</v>
      </c>
      <c r="B471" s="737">
        <f>'Аксессуары (2)'!B471*1.3*($K$2/100+1)</f>
        <v>333.20043900000002</v>
      </c>
      <c r="C471" s="737">
        <f>'Аксессуары (2)'!C471*1.3*($K$2/100+1)</f>
        <v>370.22271000000001</v>
      </c>
      <c r="D471" s="737">
        <f>'Аксессуары (2)'!D471*1.3*($K$2/100+1)</f>
        <v>407.24498100000005</v>
      </c>
      <c r="E471" s="737">
        <f>'Аксессуары (2)'!E471*1.6*($K$2/100+1)</f>
        <v>546.79046400000004</v>
      </c>
      <c r="F471" s="737">
        <f>'Аксессуары (2)'!F471*1.6*($K$2/100+1)</f>
        <v>601.4695104000001</v>
      </c>
      <c r="G471" s="737">
        <f>'Аксессуары (2)'!G471*1.6*($K$2/100+1)</f>
        <v>656.14855679999994</v>
      </c>
      <c r="H471" s="740">
        <f>'Аксессуары (2)'!H471*1.8*($K$2/100+1)</f>
        <v>1025.2321200000001</v>
      </c>
      <c r="I471" s="740">
        <f>'Аксессуары (2)'!J471*1.5*($K$2/100+1)</f>
        <v>1281.5401500000003</v>
      </c>
      <c r="J471" s="741">
        <f>'Аксессуары (2)'!J471*1.8*($K$2/100+1)</f>
        <v>1537.8481800000002</v>
      </c>
    </row>
    <row r="472" spans="1:10" ht="14.95" customHeight="1">
      <c r="A472" s="424" t="s">
        <v>390</v>
      </c>
      <c r="B472" s="737">
        <f>'Аксессуары (2)'!B472*1.3*($K$2/100+1)</f>
        <v>354.98420100000004</v>
      </c>
      <c r="C472" s="737">
        <f>'Аксессуары (2)'!C472*1.3*($K$2/100+1)</f>
        <v>394.42689000000001</v>
      </c>
      <c r="D472" s="737">
        <f>'Аксессуары (2)'!D472*1.3*($K$2/100+1)</f>
        <v>433.86957900000004</v>
      </c>
      <c r="E472" s="737">
        <f>'Аксессуары (2)'!E472*1.6*($K$2/100+1)</f>
        <v>582.53817600000002</v>
      </c>
      <c r="F472" s="737">
        <f>'Аксессуары (2)'!F472*1.6*($K$2/100+1)</f>
        <v>640.79199359999996</v>
      </c>
      <c r="G472" s="737">
        <f>'Аксессуары (2)'!G472*1.6*($K$2/100+1)</f>
        <v>699.0458112</v>
      </c>
      <c r="H472" s="740">
        <f>'Аксессуары (2)'!H472*1.8*($K$2/100+1)</f>
        <v>1092.25908</v>
      </c>
      <c r="I472" s="740">
        <f>'Аксессуары (2)'!J472*1.5*($K$2/100+1)</f>
        <v>1365.3238499999998</v>
      </c>
      <c r="J472" s="741">
        <f>'Аксессуары (2)'!J472*1.8*($K$2/100+1)</f>
        <v>1638.3886199999997</v>
      </c>
    </row>
    <row r="473" spans="1:10" ht="14.95" customHeight="1">
      <c r="A473" s="424" t="s">
        <v>391</v>
      </c>
      <c r="B473" s="737">
        <f>'Аксессуары (2)'!B473*1.3*($K$2/100+1)</f>
        <v>372.2004</v>
      </c>
      <c r="C473" s="737">
        <f>'Аксессуары (2)'!C473*1.3*($K$2/100+1)</f>
        <v>413.55599999999998</v>
      </c>
      <c r="D473" s="737">
        <f>'Аксессуары (2)'!D473*1.3*($K$2/100+1)</f>
        <v>454.91160000000008</v>
      </c>
      <c r="E473" s="737">
        <f>'Аксессуары (2)'!E473*1.6*($K$2/100+1)</f>
        <v>610.79040000000009</v>
      </c>
      <c r="F473" s="737">
        <f>'Аксессуары (2)'!F473*1.6*($K$2/100+1)</f>
        <v>671.86944000000005</v>
      </c>
      <c r="G473" s="737">
        <f>'Аксессуары (2)'!G473*1.6*($K$2/100+1)</f>
        <v>732.94848000000002</v>
      </c>
      <c r="H473" s="740">
        <f>'Аксессуары (2)'!H473*1.8*($K$2/100+1)</f>
        <v>1145.232</v>
      </c>
      <c r="I473" s="740">
        <f>'Аксессуары (2)'!J473*1.5*($K$2/100+1)</f>
        <v>1431.5400000000002</v>
      </c>
      <c r="J473" s="741">
        <f>'Аксессуары (2)'!J473*1.8*($K$2/100+1)</f>
        <v>1717.8480000000002</v>
      </c>
    </row>
    <row r="474" spans="1:10" ht="14.95" customHeight="1">
      <c r="A474" s="424" t="s">
        <v>392</v>
      </c>
      <c r="B474" s="737">
        <f>'Аксессуары (2)'!B474*1.3*($K$2/100+1)</f>
        <v>288.75453750000003</v>
      </c>
      <c r="C474" s="737">
        <f>'Аксессуары (2)'!C474*1.3*($K$2/100+1)</f>
        <v>320.83837499999998</v>
      </c>
      <c r="D474" s="737">
        <f>'Аксессуары (2)'!D474*1.3*($K$2/100+1)</f>
        <v>352.9222125</v>
      </c>
      <c r="E474" s="737">
        <f>'Аксессуары (2)'!E474*1.6*($K$2/100+1)</f>
        <v>473.85359999999991</v>
      </c>
      <c r="F474" s="737">
        <f>'Аксессуары (2)'!F474*1.6*($K$2/100+1)</f>
        <v>521.23896000000002</v>
      </c>
      <c r="G474" s="737">
        <f>'Аксессуары (2)'!G474*1.6*($K$2/100+1)</f>
        <v>568.6243199999999</v>
      </c>
      <c r="H474" s="740">
        <f>'Аксессуары (2)'!H474*1.8*($K$2/100+1)</f>
        <v>888.47550000000001</v>
      </c>
      <c r="I474" s="740">
        <f>'Аксессуары (2)'!J474*1.5*($K$2/100+1)</f>
        <v>1110.5943749999999</v>
      </c>
      <c r="J474" s="741">
        <f>'Аксессуары (2)'!J474*1.8*($K$2/100+1)</f>
        <v>1332.7132499999998</v>
      </c>
    </row>
    <row r="475" spans="1:10" ht="14.95" customHeight="1">
      <c r="A475" s="424" t="s">
        <v>393</v>
      </c>
      <c r="B475" s="737">
        <f>'Аксессуары (2)'!B475*1.3*($K$2/100+1)</f>
        <v>296.83561049999997</v>
      </c>
      <c r="C475" s="737">
        <f>'Аксессуары (2)'!C475*1.3*($K$2/100+1)</f>
        <v>329.81734499999999</v>
      </c>
      <c r="D475" s="737">
        <f>'Аксессуары (2)'!D475*1.3*($K$2/100+1)</f>
        <v>362.7990795</v>
      </c>
      <c r="E475" s="737">
        <f>'Аксессуары (2)'!E475*1.6*($K$2/100+1)</f>
        <v>487.11484799999994</v>
      </c>
      <c r="F475" s="737">
        <f>'Аксессуары (2)'!F475*1.6*($K$2/100+1)</f>
        <v>535.82633280000005</v>
      </c>
      <c r="G475" s="737">
        <f>'Аксессуары (2)'!G475*1.6*($K$2/100+1)</f>
        <v>584.53781759999993</v>
      </c>
      <c r="H475" s="740">
        <f>'Аксессуары (2)'!H475*1.8*($K$2/100+1)</f>
        <v>913.34033999999986</v>
      </c>
      <c r="I475" s="740">
        <f>'Аксессуары (2)'!J475*1.5*($K$2/100+1)</f>
        <v>1141.6754250000001</v>
      </c>
      <c r="J475" s="741">
        <f>'Аксессуары (2)'!J475*1.8*($K$2/100+1)</f>
        <v>1370.0105100000001</v>
      </c>
    </row>
    <row r="476" spans="1:10" ht="14.95" customHeight="1">
      <c r="A476" s="424" t="s">
        <v>394</v>
      </c>
      <c r="B476" s="737">
        <f>'Аксессуары (2)'!B476*1.3*($K$2/100+1)</f>
        <v>298.06533899999999</v>
      </c>
      <c r="C476" s="737">
        <f>'Аксессуары (2)'!C476*1.3*($K$2/100+1)</f>
        <v>331.18370999999996</v>
      </c>
      <c r="D476" s="737">
        <f>'Аксессуары (2)'!D476*1.3*($K$2/100+1)</f>
        <v>364.30208100000004</v>
      </c>
      <c r="E476" s="737">
        <f>'Аксессуары (2)'!E476*1.6*($K$2/100+1)</f>
        <v>489.13286399999987</v>
      </c>
      <c r="F476" s="737">
        <f>'Аксессуары (2)'!F476*1.6*($K$2/100+1)</f>
        <v>538.0461504000001</v>
      </c>
      <c r="G476" s="737">
        <f>'Аксессуары (2)'!G476*1.6*($K$2/100+1)</f>
        <v>586.95943679999993</v>
      </c>
      <c r="H476" s="740">
        <f>'Аксессуары (2)'!H476*1.8*($K$2/100+1)</f>
        <v>917.12411999999995</v>
      </c>
      <c r="I476" s="740">
        <f>'Аксессуары (2)'!J476*1.5*($K$2/100+1)</f>
        <v>1146.4051499999998</v>
      </c>
      <c r="J476" s="741">
        <f>'Аксессуары (2)'!J476*1.8*($K$2/100+1)</f>
        <v>1375.6861799999999</v>
      </c>
    </row>
    <row r="477" spans="1:10" ht="14.95" customHeight="1">
      <c r="A477" s="424" t="s">
        <v>395</v>
      </c>
      <c r="B477" s="737">
        <f>'Аксессуары (2)'!B477*1.3*($K$2/100+1)</f>
        <v>316.33559099999997</v>
      </c>
      <c r="C477" s="737">
        <f>'Аксессуары (2)'!C477*1.3*($K$2/100+1)</f>
        <v>351.48399000000001</v>
      </c>
      <c r="D477" s="737">
        <f>'Аксессуары (2)'!D477*1.3*($K$2/100+1)</f>
        <v>386.63238899999999</v>
      </c>
      <c r="E477" s="737">
        <f>'Аксессуары (2)'!E477*1.6*($K$2/100+1)</f>
        <v>519.11481600000002</v>
      </c>
      <c r="F477" s="737">
        <f>'Аксессуары (2)'!F477*1.6*($K$2/100+1)</f>
        <v>571.02629760000002</v>
      </c>
      <c r="G477" s="737">
        <f>'Аксессуары (2)'!G477*1.6*($K$2/100+1)</f>
        <v>622.93777920000002</v>
      </c>
      <c r="H477" s="740">
        <f>'Аксессуары (2)'!H477*1.8*($K$2/100+1)</f>
        <v>973.34027999999989</v>
      </c>
      <c r="I477" s="740">
        <f>'Аксессуары (2)'!J477*1.5*($K$2/100+1)</f>
        <v>1216.67535</v>
      </c>
      <c r="J477" s="741">
        <f>'Аксессуары (2)'!J477*1.8*($K$2/100+1)</f>
        <v>1460.0104200000001</v>
      </c>
    </row>
    <row r="478" spans="1:10" ht="14.95" customHeight="1">
      <c r="A478" s="424" t="s">
        <v>396</v>
      </c>
      <c r="B478" s="737">
        <f>'Аксессуары (2)'!B478*1.3*($K$2/100+1)</f>
        <v>319.49775</v>
      </c>
      <c r="C478" s="737">
        <f>'Аксессуары (2)'!C478*1.3*($K$2/100+1)</f>
        <v>354.9975</v>
      </c>
      <c r="D478" s="737">
        <f>'Аксессуары (2)'!D478*1.3*($K$2/100+1)</f>
        <v>390.49725000000001</v>
      </c>
      <c r="E478" s="737">
        <f>'Аксессуары (2)'!E478*1.6*($K$2/100+1)</f>
        <v>524.30399999999997</v>
      </c>
      <c r="F478" s="737">
        <f>'Аксессуары (2)'!F478*1.6*($K$2/100+1)</f>
        <v>576.73440000000005</v>
      </c>
      <c r="G478" s="737">
        <f>'Аксессуары (2)'!G478*1.6*($K$2/100+1)</f>
        <v>629.16480000000001</v>
      </c>
      <c r="H478" s="740">
        <f>'Аксессуары (2)'!H478*1.8*($K$2/100+1)</f>
        <v>983.07</v>
      </c>
      <c r="I478" s="740">
        <f>'Аксессуары (2)'!J478*1.5*($K$2/100+1)</f>
        <v>1228.8374999999999</v>
      </c>
      <c r="J478" s="741">
        <f>'Аксессуары (2)'!J478*1.8*($K$2/100+1)</f>
        <v>1474.605</v>
      </c>
    </row>
    <row r="479" spans="1:10" ht="14.95" customHeight="1">
      <c r="A479" s="424" t="s">
        <v>397</v>
      </c>
      <c r="B479" s="737">
        <f>'Аксессуары (2)'!B479*1.3*($K$2/100+1)</f>
        <v>315.45721349999997</v>
      </c>
      <c r="C479" s="737">
        <f>'Аксессуары (2)'!C479*1.3*($K$2/100+1)</f>
        <v>350.50801499999994</v>
      </c>
      <c r="D479" s="737">
        <f>'Аксессуары (2)'!D479*1.3*($K$2/100+1)</f>
        <v>385.55881650000003</v>
      </c>
      <c r="E479" s="737">
        <f>'Аксессуары (2)'!E479*1.6*($K$2/100+1)</f>
        <v>517.67337599999996</v>
      </c>
      <c r="F479" s="737">
        <f>'Аксессуары (2)'!F479*1.6*($K$2/100+1)</f>
        <v>569.44071359999998</v>
      </c>
      <c r="G479" s="737">
        <f>'Аксессуары (2)'!G479*1.6*($K$2/100+1)</f>
        <v>621.20805119999989</v>
      </c>
      <c r="H479" s="740">
        <f>'Аксессуары (2)'!H479*1.8*($K$2/100+1)</f>
        <v>970.63757999999984</v>
      </c>
      <c r="I479" s="740">
        <f>'Аксессуары (2)'!J479*1.5*($K$2/100+1)</f>
        <v>1213.2969749999997</v>
      </c>
      <c r="J479" s="741">
        <f>'Аксессуары (2)'!J479*1.8*($K$2/100+1)</f>
        <v>1455.9563699999999</v>
      </c>
    </row>
    <row r="480" spans="1:10" ht="14.95" customHeight="1">
      <c r="A480" s="424" t="s">
        <v>398</v>
      </c>
      <c r="B480" s="737">
        <f>'Аксессуары (2)'!B480*1.3*($K$2/100+1)</f>
        <v>335.30854499999998</v>
      </c>
      <c r="C480" s="737">
        <f>'Аксессуары (2)'!C480*1.3*($K$2/100+1)</f>
        <v>372.56504999999999</v>
      </c>
      <c r="D480" s="737">
        <f>'Аксессуары (2)'!D480*1.3*($K$2/100+1)</f>
        <v>409.82155500000005</v>
      </c>
      <c r="E480" s="737">
        <f>'Аксессуары (2)'!E480*1.6*($K$2/100+1)</f>
        <v>550.24991999999997</v>
      </c>
      <c r="F480" s="737">
        <f>'Аксессуары (2)'!F480*1.6*($K$2/100+1)</f>
        <v>605.27491200000009</v>
      </c>
      <c r="G480" s="737">
        <f>'Аксессуары (2)'!G480*1.6*($K$2/100+1)</f>
        <v>660.29990399999997</v>
      </c>
      <c r="H480" s="740">
        <f>'Аксессуары (2)'!H480*1.8*($K$2/100+1)</f>
        <v>1031.7185999999999</v>
      </c>
      <c r="I480" s="740">
        <f>'Аксессуары (2)'!J480*1.5*($K$2/100+1)</f>
        <v>1289.6482499999997</v>
      </c>
      <c r="J480" s="741">
        <f>'Аксессуары (2)'!J480*1.8*($K$2/100+1)</f>
        <v>1547.5778999999998</v>
      </c>
    </row>
    <row r="481" spans="1:10" ht="14.95" customHeight="1">
      <c r="A481" s="424" t="s">
        <v>399</v>
      </c>
      <c r="B481" s="737">
        <f>'Аксессуары (2)'!B481*1.3*($K$2/100+1)</f>
        <v>334.07881650000002</v>
      </c>
      <c r="C481" s="737">
        <f>'Аксессуары (2)'!C481*1.3*($K$2/100+1)</f>
        <v>371.19868499999995</v>
      </c>
      <c r="D481" s="737">
        <f>'Аксессуары (2)'!D481*1.3*($K$2/100+1)</f>
        <v>408.31855350000001</v>
      </c>
      <c r="E481" s="737">
        <f>'Аксессуары (2)'!E481*1.6*($K$2/100+1)</f>
        <v>548.23190399999999</v>
      </c>
      <c r="F481" s="737">
        <f>'Аксессуары (2)'!F481*1.6*($K$2/100+1)</f>
        <v>603.05509440000003</v>
      </c>
      <c r="G481" s="737">
        <f>'Аксессуары (2)'!G481*1.6*($K$2/100+1)</f>
        <v>657.87828479999996</v>
      </c>
      <c r="H481" s="740">
        <f>'Аксессуары (2)'!H481*1.8*($K$2/100+1)</f>
        <v>1027.9348199999999</v>
      </c>
      <c r="I481" s="740">
        <f>'Аксессуары (2)'!J481*1.5*($K$2/100+1)</f>
        <v>1284.9185249999998</v>
      </c>
      <c r="J481" s="741">
        <f>'Аксессуары (2)'!J481*1.8*($K$2/100+1)</f>
        <v>1541.9022299999999</v>
      </c>
    </row>
    <row r="482" spans="1:10" ht="14.95" customHeight="1">
      <c r="A482" s="424" t="s">
        <v>400</v>
      </c>
      <c r="B482" s="737">
        <f>'Аксессуары (2)'!B482*1.3*($K$2/100+1)</f>
        <v>351.6463665</v>
      </c>
      <c r="C482" s="737">
        <f>'Аксессуары (2)'!C482*1.3*($K$2/100+1)</f>
        <v>390.71818500000001</v>
      </c>
      <c r="D482" s="737">
        <f>'Аксессуары (2)'!D482*1.3*($K$2/100+1)</f>
        <v>429.79000349999995</v>
      </c>
      <c r="E482" s="737">
        <f>'Аксессуары (2)'!E482*1.6*($K$2/100+1)</f>
        <v>577.06070399999999</v>
      </c>
      <c r="F482" s="737">
        <f>'Аксессуары (2)'!F482*1.6*($K$2/100+1)</f>
        <v>634.76677439999992</v>
      </c>
      <c r="G482" s="737">
        <f>'Аксессуары (2)'!G482*1.6*($K$2/100+1)</f>
        <v>692.47284479999996</v>
      </c>
      <c r="H482" s="740">
        <f>'Аксессуары (2)'!H482*1.8*($K$2/100+1)</f>
        <v>1081.98882</v>
      </c>
      <c r="I482" s="740">
        <f>'Аксессуары (2)'!J482*1.5*($K$2/100+1)</f>
        <v>1352.4860249999999</v>
      </c>
      <c r="J482" s="741">
        <f>'Аксессуары (2)'!J482*1.8*($K$2/100+1)</f>
        <v>1622.9832299999998</v>
      </c>
    </row>
    <row r="483" spans="1:10" ht="14.95" customHeight="1">
      <c r="A483" s="424" t="s">
        <v>401</v>
      </c>
      <c r="B483" s="737">
        <f>'Аксессуары (2)'!B483*1.3*($K$2/100+1)</f>
        <v>369.21391650000004</v>
      </c>
      <c r="C483" s="737">
        <f>'Аксессуары (2)'!C483*1.3*($K$2/100+1)</f>
        <v>410.23768499999994</v>
      </c>
      <c r="D483" s="737">
        <f>'Аксессуары (2)'!D483*1.3*($K$2/100+1)</f>
        <v>451.26145349999996</v>
      </c>
      <c r="E483" s="737">
        <f>'Аксессуары (2)'!E483*1.6*($K$2/100+1)</f>
        <v>605.88950399999999</v>
      </c>
      <c r="F483" s="737">
        <f>'Аксессуары (2)'!F483*1.6*($K$2/100+1)</f>
        <v>666.47845439999992</v>
      </c>
      <c r="G483" s="737">
        <f>'Аксессуары (2)'!G483*1.6*($K$2/100+1)</f>
        <v>727.06740479999996</v>
      </c>
      <c r="H483" s="740">
        <f>'Аксессуары (2)'!H483*1.8*($K$2/100+1)</f>
        <v>1136.0428199999999</v>
      </c>
      <c r="I483" s="740">
        <f>'Аксессуары (2)'!J483*1.5*($K$2/100+1)</f>
        <v>1420.053525</v>
      </c>
      <c r="J483" s="741">
        <f>'Аксессуары (2)'!J483*1.8*($K$2/100+1)</f>
        <v>1704.06423</v>
      </c>
    </row>
    <row r="484" spans="1:10" ht="14.95" customHeight="1">
      <c r="A484" s="424" t="s">
        <v>402</v>
      </c>
      <c r="B484" s="737">
        <f>'Аксессуары (2)'!B484*1.3*($K$2/100+1)</f>
        <v>386.78146650000002</v>
      </c>
      <c r="C484" s="737">
        <f>'Аксессуары (2)'!C484*1.3*($K$2/100+1)</f>
        <v>429.75718500000005</v>
      </c>
      <c r="D484" s="737">
        <f>'Аксессуары (2)'!D484*1.3*($K$2/100+1)</f>
        <v>472.73290350000002</v>
      </c>
      <c r="E484" s="737">
        <f>'Аксессуары (2)'!E484*1.6*($K$2/100+1)</f>
        <v>634.71830399999999</v>
      </c>
      <c r="F484" s="737">
        <f>'Аксессуары (2)'!F484*1.6*($K$2/100+1)</f>
        <v>698.19013439999992</v>
      </c>
      <c r="G484" s="737">
        <f>'Аксессуары (2)'!G484*1.6*($K$2/100+1)</f>
        <v>761.66196479999985</v>
      </c>
      <c r="H484" s="740">
        <f>'Аксессуары (2)'!H484*1.8*($K$2/100+1)</f>
        <v>1190.09682</v>
      </c>
      <c r="I484" s="740">
        <f>'Аксессуары (2)'!J484*1.5*($K$2/100+1)</f>
        <v>1487.6210249999999</v>
      </c>
      <c r="J484" s="741">
        <f>'Аксессуары (2)'!J484*1.8*($K$2/100+1)</f>
        <v>1785.1452299999996</v>
      </c>
    </row>
    <row r="485" spans="1:10" ht="14.95" customHeight="1">
      <c r="A485" s="424" t="s">
        <v>403</v>
      </c>
      <c r="B485" s="737">
        <f>'Аксессуары (2)'!B485*1.3*($K$2/100+1)</f>
        <v>404.34901649999995</v>
      </c>
      <c r="C485" s="737">
        <f>'Аксессуары (2)'!C485*1.3*($K$2/100+1)</f>
        <v>449.27668499999993</v>
      </c>
      <c r="D485" s="737">
        <f>'Аксессуары (2)'!D485*1.3*($K$2/100+1)</f>
        <v>494.20435349999997</v>
      </c>
      <c r="E485" s="737">
        <f>'Аксессуары (2)'!E485*1.6*($K$2/100+1)</f>
        <v>663.54710399999988</v>
      </c>
      <c r="F485" s="737">
        <f>'Аксессуары (2)'!F485*1.6*($K$2/100+1)</f>
        <v>729.90181439999981</v>
      </c>
      <c r="G485" s="737">
        <f>'Аксессуары (2)'!G485*1.6*($K$2/100+1)</f>
        <v>796.25652479999997</v>
      </c>
      <c r="H485" s="740">
        <f>'Аксессуары (2)'!H485*1.8*($K$2/100+1)</f>
        <v>1244.1508199999998</v>
      </c>
      <c r="I485" s="740">
        <f>'Аксессуары (2)'!J485*1.5*($K$2/100+1)</f>
        <v>1555.1885249999998</v>
      </c>
      <c r="J485" s="741">
        <f>'Аксессуары (2)'!J485*1.8*($K$2/100+1)</f>
        <v>1866.22623</v>
      </c>
    </row>
    <row r="486" spans="1:10" ht="14.95" customHeight="1">
      <c r="A486" s="424" t="s">
        <v>404</v>
      </c>
      <c r="B486" s="737">
        <f>'Аксессуары (2)'!B486*1.3*($K$2/100+1)</f>
        <v>421.91656649999999</v>
      </c>
      <c r="C486" s="737">
        <f>'Аксессуары (2)'!C486*1.3*($K$2/100+1)</f>
        <v>468.79618499999998</v>
      </c>
      <c r="D486" s="737">
        <f>'Аксессуары (2)'!D486*1.3*($K$2/100+1)</f>
        <v>515.67580350000003</v>
      </c>
      <c r="E486" s="737">
        <f>'Аксессуары (2)'!E486*1.6*($K$2/100+1)</f>
        <v>692.37590399999999</v>
      </c>
      <c r="F486" s="737">
        <f>'Аксессуары (2)'!F486*1.6*($K$2/100+1)</f>
        <v>761.61349439999992</v>
      </c>
      <c r="G486" s="737">
        <f>'Аксессуары (2)'!G486*1.6*($K$2/100+1)</f>
        <v>830.85108479999997</v>
      </c>
      <c r="H486" s="740">
        <f>'Аксессуары (2)'!H486*1.8*($K$2/100+1)</f>
        <v>1298.2048199999999</v>
      </c>
      <c r="I486" s="740">
        <f>'Аксессуары (2)'!J486*1.5*($K$2/100+1)</f>
        <v>1622.7560249999999</v>
      </c>
      <c r="J486" s="741">
        <f>'Аксессуары (2)'!J486*1.8*($K$2/100+1)</f>
        <v>1947.3072300000001</v>
      </c>
    </row>
    <row r="487" spans="1:10" ht="14.95" customHeight="1">
      <c r="A487" s="424" t="s">
        <v>405</v>
      </c>
      <c r="B487" s="737">
        <f>'Аксессуары (2)'!B487*1.3*($K$2/100+1)</f>
        <v>299.82209399999999</v>
      </c>
      <c r="C487" s="737">
        <f>'Аксессуары (2)'!C487*1.3*($K$2/100+1)</f>
        <v>333.13565999999997</v>
      </c>
      <c r="D487" s="737">
        <f>'Аксессуары (2)'!D487*1.3*($K$2/100+1)</f>
        <v>366.44922600000001</v>
      </c>
      <c r="E487" s="737">
        <f>'Аксессуары (2)'!E487*1.6*($K$2/100+1)</f>
        <v>492.01574399999993</v>
      </c>
      <c r="F487" s="737">
        <f>'Аксессуары (2)'!F487*1.6*($K$2/100+1)</f>
        <v>541.21731839999995</v>
      </c>
      <c r="G487" s="737">
        <f>'Аксессуары (2)'!G487*1.6*($K$2/100+1)</f>
        <v>590.41889279999998</v>
      </c>
      <c r="H487" s="740">
        <f>'Аксессуары (2)'!H487*1.8*($K$2/100+1)</f>
        <v>922.52951999999993</v>
      </c>
      <c r="I487" s="740">
        <f>'Аксессуары (2)'!J487*1.5*($K$2/100+1)</f>
        <v>1153.1618999999998</v>
      </c>
      <c r="J487" s="741">
        <f>'Аксессуары (2)'!J487*1.8*($K$2/100+1)</f>
        <v>1383.7942799999998</v>
      </c>
    </row>
    <row r="488" spans="1:10" ht="14.95" customHeight="1">
      <c r="A488" s="424" t="s">
        <v>406</v>
      </c>
      <c r="B488" s="737">
        <f>'Аксессуары (2)'!B488*1.3*($K$2/100+1)</f>
        <v>306.49776300000002</v>
      </c>
      <c r="C488" s="737">
        <f>'Аксессуары (2)'!C488*1.3*($K$2/100+1)</f>
        <v>340.55306999999999</v>
      </c>
      <c r="D488" s="737">
        <f>'Аксессуары (2)'!D488*1.3*($K$2/100+1)</f>
        <v>374.60837700000002</v>
      </c>
      <c r="E488" s="737">
        <f>'Аксессуары (2)'!E488*1.6*($K$2/100+1)</f>
        <v>502.97068799999994</v>
      </c>
      <c r="F488" s="737">
        <f>'Аксессуары (2)'!F488*1.6*($K$2/100+1)</f>
        <v>553.26775680000003</v>
      </c>
      <c r="G488" s="737">
        <f>'Аксессуары (2)'!G488*1.6*($K$2/100+1)</f>
        <v>603.56482559999995</v>
      </c>
      <c r="H488" s="740">
        <f>'Аксессуары (2)'!H488*1.8*($K$2/100+1)</f>
        <v>943.07003999999995</v>
      </c>
      <c r="I488" s="740">
        <f>'Аксессуары (2)'!J488*1.5*($K$2/100+1)</f>
        <v>1178.83755</v>
      </c>
      <c r="J488" s="741">
        <f>'Аксессуары (2)'!J488*1.8*($K$2/100+1)</f>
        <v>1414.6050599999999</v>
      </c>
    </row>
    <row r="489" spans="1:10" ht="14.95" customHeight="1">
      <c r="A489" s="424" t="s">
        <v>407</v>
      </c>
      <c r="B489" s="737">
        <f>'Аксессуары (2)'!B489*1.3*($K$2/100+1)</f>
        <v>316.33559099999997</v>
      </c>
      <c r="C489" s="737">
        <f>'Аксессуары (2)'!C489*1.3*($K$2/100+1)</f>
        <v>351.48399000000001</v>
      </c>
      <c r="D489" s="737">
        <f>'Аксессуары (2)'!D489*1.3*($K$2/100+1)</f>
        <v>386.63238899999999</v>
      </c>
      <c r="E489" s="737">
        <f>'Аксессуары (2)'!E489*1.6*($K$2/100+1)</f>
        <v>519.11481600000002</v>
      </c>
      <c r="F489" s="737">
        <f>'Аксессуары (2)'!F489*1.6*($K$2/100+1)</f>
        <v>571.02629760000002</v>
      </c>
      <c r="G489" s="737">
        <f>'Аксессуары (2)'!G489*1.6*($K$2/100+1)</f>
        <v>622.93777920000002</v>
      </c>
      <c r="H489" s="740">
        <f>'Аксессуары (2)'!H489*1.8*($K$2/100+1)</f>
        <v>973.34027999999989</v>
      </c>
      <c r="I489" s="740">
        <f>'Аксессуары (2)'!J489*1.5*($K$2/100+1)</f>
        <v>1216.67535</v>
      </c>
      <c r="J489" s="741">
        <f>'Аксессуары (2)'!J489*1.8*($K$2/100+1)</f>
        <v>1460.0104200000001</v>
      </c>
    </row>
    <row r="490" spans="1:10" ht="14.95" customHeight="1">
      <c r="A490" s="424" t="s">
        <v>408</v>
      </c>
      <c r="B490" s="737">
        <f>'Аксессуары (2)'!B490*1.3*($K$2/100+1)</f>
        <v>327.75449849999995</v>
      </c>
      <c r="C490" s="737">
        <f>'Аксессуары (2)'!C490*1.3*($K$2/100+1)</f>
        <v>364.17166499999996</v>
      </c>
      <c r="D490" s="737">
        <f>'Аксессуары (2)'!D490*1.3*($K$2/100+1)</f>
        <v>400.58883150000003</v>
      </c>
      <c r="E490" s="737">
        <f>'Аксессуары (2)'!E490*1.6*($K$2/100+1)</f>
        <v>537.85353599999996</v>
      </c>
      <c r="F490" s="737">
        <f>'Аксессуары (2)'!F490*1.6*($K$2/100+1)</f>
        <v>591.63888960000008</v>
      </c>
      <c r="G490" s="737">
        <f>'Аксессуары (2)'!G490*1.6*($K$2/100+1)</f>
        <v>645.42424319999998</v>
      </c>
      <c r="H490" s="740">
        <f>'Аксессуары (2)'!H490*1.8*($K$2/100+1)</f>
        <v>1008.4753799999999</v>
      </c>
      <c r="I490" s="740">
        <f>'Аксессуары (2)'!J490*1.5*($K$2/100+1)</f>
        <v>1260.5942249999998</v>
      </c>
      <c r="J490" s="741">
        <f>'Аксессуары (2)'!J490*1.8*($K$2/100+1)</f>
        <v>1512.7130699999998</v>
      </c>
    </row>
    <row r="491" spans="1:10" ht="14.95" customHeight="1">
      <c r="A491" s="424" t="s">
        <v>409</v>
      </c>
      <c r="B491" s="737">
        <f>'Аксессуары (2)'!B491*1.3*($K$2/100+1)</f>
        <v>328.28152499999999</v>
      </c>
      <c r="C491" s="737">
        <f>'Аксессуары (2)'!C491*1.3*($K$2/100+1)</f>
        <v>364.75725</v>
      </c>
      <c r="D491" s="737">
        <f>'Аксессуары (2)'!D491*1.3*($K$2/100+1)</f>
        <v>401.23297500000007</v>
      </c>
      <c r="E491" s="737">
        <f>'Аксессуары (2)'!E491*1.6*($K$2/100+1)</f>
        <v>538.71840000000009</v>
      </c>
      <c r="F491" s="737">
        <f>'Аксессуары (2)'!F491*1.6*($K$2/100+1)</f>
        <v>592.59024000000011</v>
      </c>
      <c r="G491" s="737">
        <f>'Аксессуары (2)'!G491*1.6*($K$2/100+1)</f>
        <v>646.46208000000001</v>
      </c>
      <c r="H491" s="740">
        <f>'Аксессуары (2)'!H491*1.8*($K$2/100+1)</f>
        <v>1010.0970000000001</v>
      </c>
      <c r="I491" s="740">
        <f>'Аксессуары (2)'!J491*1.5*($K$2/100+1)</f>
        <v>1262.6212499999999</v>
      </c>
      <c r="J491" s="741">
        <f>'Аксессуары (2)'!J491*1.8*($K$2/100+1)</f>
        <v>1515.1455000000001</v>
      </c>
    </row>
    <row r="492" spans="1:10" ht="14.95" customHeight="1">
      <c r="A492" s="424" t="s">
        <v>410</v>
      </c>
      <c r="B492" s="737">
        <f>'Аксессуары (2)'!B492*1.3*($K$2/100+1)</f>
        <v>325.99774349999996</v>
      </c>
      <c r="C492" s="737">
        <f>'Аксессуары (2)'!C492*1.3*($K$2/100+1)</f>
        <v>362.21971499999995</v>
      </c>
      <c r="D492" s="737">
        <f>'Аксессуары (2)'!D492*1.3*($K$2/100+1)</f>
        <v>398.4416865</v>
      </c>
      <c r="E492" s="737">
        <f>'Аксессуары (2)'!E492*1.6*($K$2/100+1)</f>
        <v>534.97065599999996</v>
      </c>
      <c r="F492" s="737">
        <f>'Аксессуары (2)'!F492*1.6*($K$2/100+1)</f>
        <v>588.4677216</v>
      </c>
      <c r="G492" s="737">
        <f>'Аксессуары (2)'!G492*1.6*($K$2/100+1)</f>
        <v>641.96478719999993</v>
      </c>
      <c r="H492" s="740">
        <f>'Аксессуары (2)'!H492*1.8*($K$2/100+1)</f>
        <v>1003.06998</v>
      </c>
      <c r="I492" s="740">
        <f>'Аксессуары (2)'!J492*1.5*($K$2/100+1)</f>
        <v>1253.8374749999998</v>
      </c>
      <c r="J492" s="741">
        <f>'Аксессуары (2)'!J492*1.8*($K$2/100+1)</f>
        <v>1504.6049699999999</v>
      </c>
    </row>
    <row r="493" spans="1:10" ht="14.95" customHeight="1">
      <c r="A493" s="424" t="s">
        <v>411</v>
      </c>
      <c r="B493" s="737">
        <f>'Аксессуары (2)'!B493*1.3*($K$2/100+1)</f>
        <v>350.59231349999999</v>
      </c>
      <c r="C493" s="737">
        <f>'Аксессуары (2)'!C493*1.3*($K$2/100+1)</f>
        <v>389.54701499999999</v>
      </c>
      <c r="D493" s="737">
        <f>'Аксессуары (2)'!D493*1.3*($K$2/100+1)</f>
        <v>428.50171649999999</v>
      </c>
      <c r="E493" s="737">
        <f>'Аксессуары (2)'!E493*1.6*($K$2/100+1)</f>
        <v>575.33097599999996</v>
      </c>
      <c r="F493" s="737">
        <f>'Аксессуары (2)'!F493*1.6*($K$2/100+1)</f>
        <v>632.8640736000001</v>
      </c>
      <c r="G493" s="737">
        <f>'Аксессуары (2)'!G493*1.6*($K$2/100+1)</f>
        <v>690.3971712</v>
      </c>
      <c r="H493" s="740">
        <f>'Аксессуары (2)'!H493*1.8*($K$2/100+1)</f>
        <v>1078.74558</v>
      </c>
      <c r="I493" s="740">
        <f>'Аксессуары (2)'!J493*1.5*($K$2/100+1)</f>
        <v>1348.4319750000002</v>
      </c>
      <c r="J493" s="741">
        <f>'Аксессуары (2)'!J493*1.8*($K$2/100+1)</f>
        <v>1618.1183699999999</v>
      </c>
    </row>
    <row r="494" spans="1:10" ht="14.95" customHeight="1">
      <c r="A494" s="424" t="s">
        <v>412</v>
      </c>
      <c r="B494" s="737">
        <f>'Аксессуары (2)'!B494*1.3*($K$2/100+1)</f>
        <v>345.49772400000006</v>
      </c>
      <c r="C494" s="737">
        <f>'Аксессуары (2)'!C494*1.3*($K$2/100+1)</f>
        <v>383.88636000000002</v>
      </c>
      <c r="D494" s="737">
        <f>'Аксессуары (2)'!D494*1.3*($K$2/100+1)</f>
        <v>422.27499600000004</v>
      </c>
      <c r="E494" s="737">
        <f>'Аксессуары (2)'!E494*1.6*($K$2/100+1)</f>
        <v>566.97062400000004</v>
      </c>
      <c r="F494" s="737">
        <f>'Аксессуары (2)'!F494*1.6*($K$2/100+1)</f>
        <v>623.66768640000009</v>
      </c>
      <c r="G494" s="737">
        <f>'Аксессуары (2)'!G494*1.6*($K$2/100+1)</f>
        <v>680.36474880000014</v>
      </c>
      <c r="H494" s="740">
        <f>'Аксессуары (2)'!H494*1.8*($K$2/100+1)</f>
        <v>1063.0699200000001</v>
      </c>
      <c r="I494" s="740">
        <f>'Аксессуары (2)'!J494*1.5*($K$2/100+1)</f>
        <v>1328.8373999999999</v>
      </c>
      <c r="J494" s="741">
        <f>'Аксессуары (2)'!J494*1.8*($K$2/100+1)</f>
        <v>1594.6048799999999</v>
      </c>
    </row>
    <row r="495" spans="1:10" ht="14.95" customHeight="1">
      <c r="A495" s="424" t="s">
        <v>413</v>
      </c>
      <c r="B495" s="737">
        <f>'Аксессуары (2)'!B495*1.3*($K$2/100+1)</f>
        <v>367.28148600000003</v>
      </c>
      <c r="C495" s="737">
        <f>'Аксессуары (2)'!C495*1.3*($K$2/100+1)</f>
        <v>408.09054000000003</v>
      </c>
      <c r="D495" s="737">
        <f>'Аксессуары (2)'!D495*1.3*($K$2/100+1)</f>
        <v>448.89959400000009</v>
      </c>
      <c r="E495" s="737">
        <f>'Аксессуары (2)'!E495*1.6*($K$2/100+1)</f>
        <v>602.71833600000002</v>
      </c>
      <c r="F495" s="737">
        <f>'Аксессуары (2)'!F495*1.6*($K$2/100+1)</f>
        <v>662.99016959999994</v>
      </c>
      <c r="G495" s="737">
        <f>'Аксессуары (2)'!G495*1.6*($K$2/100+1)</f>
        <v>723.26200319999987</v>
      </c>
      <c r="H495" s="740">
        <f>'Аксессуары (2)'!H495*1.8*($K$2/100+1)</f>
        <v>1130.0968800000001</v>
      </c>
      <c r="I495" s="740">
        <f>'Аксессуары (2)'!J495*1.5*($K$2/100+1)</f>
        <v>1412.6211000000001</v>
      </c>
      <c r="J495" s="741">
        <f>'Аксессуары (2)'!J495*1.8*($K$2/100+1)</f>
        <v>1695.1453200000001</v>
      </c>
    </row>
    <row r="496" spans="1:10" ht="14.95" customHeight="1">
      <c r="A496" s="424" t="s">
        <v>414</v>
      </c>
      <c r="B496" s="737">
        <f>'Аксессуары (2)'!B496*1.3*($K$2/100+1)</f>
        <v>368.33553899999998</v>
      </c>
      <c r="C496" s="737">
        <f>'Аксессуары (2)'!C496*1.3*($K$2/100+1)</f>
        <v>409.26170999999999</v>
      </c>
      <c r="D496" s="737">
        <f>'Аксессуары (2)'!D496*1.3*($K$2/100+1)</f>
        <v>450.18788099999995</v>
      </c>
      <c r="E496" s="737">
        <f>'Аксессуары (2)'!E496*1.6*($K$2/100+1)</f>
        <v>604.44806399999993</v>
      </c>
      <c r="F496" s="737">
        <f>'Аксессуары (2)'!F496*1.6*($K$2/100+1)</f>
        <v>664.89287039999999</v>
      </c>
      <c r="G496" s="737">
        <f>'Аксессуары (2)'!G496*1.6*($K$2/100+1)</f>
        <v>725.33767679999983</v>
      </c>
      <c r="H496" s="740">
        <f>'Аксессуары (2)'!H496*1.8*($K$2/100+1)</f>
        <v>1133.3401199999998</v>
      </c>
      <c r="I496" s="740">
        <f>'Аксессуары (2)'!J496*1.5*($K$2/100+1)</f>
        <v>1416.67515</v>
      </c>
      <c r="J496" s="741">
        <f>'Аксессуары (2)'!J496*1.8*($K$2/100+1)</f>
        <v>1700.0101800000002</v>
      </c>
    </row>
    <row r="497" spans="1:10" ht="14.95" customHeight="1" thickBot="1">
      <c r="A497" s="425" t="s">
        <v>415</v>
      </c>
      <c r="B497" s="737">
        <f>'Аксессуары (2)'!B497*1.3*($K$2/100+1)</f>
        <v>364.9977045</v>
      </c>
      <c r="C497" s="737">
        <f>'Аксессуары (2)'!C497*1.3*($K$2/100+1)</f>
        <v>405.55300500000004</v>
      </c>
      <c r="D497" s="737">
        <f>'Аксессуары (2)'!D497*1.3*($K$2/100+1)</f>
        <v>446.10830550000009</v>
      </c>
      <c r="E497" s="737">
        <f>'Аксессуары (2)'!E497*1.6*($K$2/100+1)</f>
        <v>598.97059200000001</v>
      </c>
      <c r="F497" s="737">
        <f>'Аксессуары (2)'!F497*1.6*($K$2/100+1)</f>
        <v>658.86765120000007</v>
      </c>
      <c r="G497" s="737">
        <f>'Аксессуары (2)'!G497*1.6*($K$2/100+1)</f>
        <v>718.76471040000013</v>
      </c>
      <c r="H497" s="742">
        <f>'Аксессуары (2)'!H497*1.8*($K$2/100+1)</f>
        <v>1123.0698600000001</v>
      </c>
      <c r="I497" s="742">
        <f>'Аксессуары (2)'!J497*1.5*($K$2/100+1)</f>
        <v>1403.8373250000002</v>
      </c>
      <c r="J497" s="743">
        <f>'Аксессуары (2)'!J497*1.8*($K$2/100+1)</f>
        <v>1684.6047900000001</v>
      </c>
    </row>
    <row r="498" spans="1:10" s="254" customFormat="1" ht="14.95" customHeight="1" thickBot="1">
      <c r="A498" s="615" t="s">
        <v>2159</v>
      </c>
      <c r="B498" s="842"/>
      <c r="C498" s="843"/>
      <c r="D498" s="843"/>
      <c r="E498" s="843"/>
      <c r="F498" s="843"/>
      <c r="G498" s="843"/>
      <c r="H498" s="843"/>
      <c r="I498" s="843"/>
      <c r="J498" s="844"/>
    </row>
    <row r="499" spans="1:10" ht="14.95" customHeight="1">
      <c r="A499" s="413" t="s">
        <v>416</v>
      </c>
      <c r="B499" s="737">
        <f>'Аксессуары (2)'!B499*1.3*($K$2/100+1)</f>
        <v>81.621539999999996</v>
      </c>
      <c r="C499" s="737">
        <f>'Аксессуары (2)'!C499*1.3*($K$2/100+1)</f>
        <v>90.690600000000003</v>
      </c>
      <c r="D499" s="737">
        <f>'Аксессуары (2)'!D499*1.3*($K$2/100+1)</f>
        <v>99.759660000000011</v>
      </c>
      <c r="E499" s="737">
        <f>'Аксессуары (2)'!E499*1.6*($K$2/100+1)</f>
        <v>133.94304</v>
      </c>
      <c r="F499" s="737">
        <f>'Аксессуары (2)'!F499*1.6*($K$2/100+1)</f>
        <v>147.33734400000003</v>
      </c>
      <c r="G499" s="737">
        <f>'Аксессуары (2)'!G499*1.6*($K$2/100+1)</f>
        <v>160.73164799999998</v>
      </c>
      <c r="H499" s="738">
        <f>'Аксессуары (2)'!H499*1.8*($K$2/100+1)</f>
        <v>251.14319999999998</v>
      </c>
      <c r="I499" s="738">
        <f>'Аксессуары (2)'!J499*1.48*($K$2/100+1)</f>
        <v>309.74327999999997</v>
      </c>
      <c r="J499" s="739">
        <f>'Аксессуары (2)'!J499*1.8*($K$2/100+1)</f>
        <v>376.71480000000003</v>
      </c>
    </row>
    <row r="500" spans="1:10" ht="14.95" customHeight="1">
      <c r="A500" s="424" t="s">
        <v>417</v>
      </c>
      <c r="B500" s="737">
        <f>'Аксессуары (2)'!B500*1.3*($K$2/100+1)</f>
        <v>83.378295000000008</v>
      </c>
      <c r="C500" s="737">
        <f>'Аксессуары (2)'!C500*1.3*($K$2/100+1)</f>
        <v>92.642549999999986</v>
      </c>
      <c r="D500" s="737">
        <f>'Аксессуары (2)'!D500*1.3*($K$2/100+1)</f>
        <v>101.90680500000001</v>
      </c>
      <c r="E500" s="737">
        <f>'Аксессуары (2)'!E500*1.6*($K$2/100+1)</f>
        <v>136.82592</v>
      </c>
      <c r="F500" s="737">
        <f>'Аксессуары (2)'!F500*1.6*($K$2/100+1)</f>
        <v>150.508512</v>
      </c>
      <c r="G500" s="737">
        <f>'Аксессуары (2)'!G500*1.6*($K$2/100+1)</f>
        <v>164.19110399999997</v>
      </c>
      <c r="H500" s="740">
        <f>'Аксессуары (2)'!H500*1.8*($K$2/100+1)</f>
        <v>256.54860000000002</v>
      </c>
      <c r="I500" s="740">
        <f>'Аксессуары (2)'!J500*1.48*($K$2/100+1)</f>
        <v>316.40994000000001</v>
      </c>
      <c r="J500" s="741">
        <f>'Аксессуары (2)'!J500*1.8*($K$2/100+1)</f>
        <v>384.8229</v>
      </c>
    </row>
    <row r="501" spans="1:10" ht="14.95" customHeight="1">
      <c r="A501" s="424" t="s">
        <v>418</v>
      </c>
      <c r="B501" s="737">
        <f>'Аксессуары (2)'!B501*1.3*($K$2/100+1)</f>
        <v>88.121533499999998</v>
      </c>
      <c r="C501" s="737">
        <f>'Аксессуары (2)'!C501*1.3*($K$2/100+1)</f>
        <v>97.912814999999995</v>
      </c>
      <c r="D501" s="737">
        <f>'Аксессуары (2)'!D501*1.3*($K$2/100+1)</f>
        <v>107.70409649999999</v>
      </c>
      <c r="E501" s="737">
        <f>'Аксессуары (2)'!E501*1.6*($K$2/100+1)</f>
        <v>144.60969599999999</v>
      </c>
      <c r="F501" s="737">
        <f>'Аксессуары (2)'!F501*1.6*($K$2/100+1)</f>
        <v>159.07066559999998</v>
      </c>
      <c r="G501" s="737">
        <f>'Аксессуары (2)'!G501*1.6*($K$2/100+1)</f>
        <v>173.53163519999998</v>
      </c>
      <c r="H501" s="740">
        <f>'Аксессуары (2)'!H501*1.8*($K$2/100+1)</f>
        <v>271.14317999999997</v>
      </c>
      <c r="I501" s="740">
        <f>'Аксессуары (2)'!J501*1.48*($K$2/100+1)</f>
        <v>334.40992199999999</v>
      </c>
      <c r="J501" s="741">
        <f>'Аксессуары (2)'!J501*1.8*($K$2/100+1)</f>
        <v>406.71476999999999</v>
      </c>
    </row>
    <row r="502" spans="1:10" ht="14.95" customHeight="1">
      <c r="A502" s="424" t="s">
        <v>419</v>
      </c>
      <c r="B502" s="737">
        <f>'Аксессуары (2)'!B502*1.3*($K$2/100+1)</f>
        <v>111.48637500000001</v>
      </c>
      <c r="C502" s="737">
        <f>'Аксессуары (2)'!C502*1.3*($K$2/100+1)</f>
        <v>123.87375</v>
      </c>
      <c r="D502" s="737">
        <f>'Аксессуары (2)'!D502*1.3*($K$2/100+1)</f>
        <v>136.26112500000002</v>
      </c>
      <c r="E502" s="737">
        <f>'Аксессуары (2)'!E502*1.6*($K$2/100+1)</f>
        <v>182.95199999999997</v>
      </c>
      <c r="F502" s="737">
        <f>'Аксессуары (2)'!F502*1.6*($K$2/100+1)</f>
        <v>201.24720000000002</v>
      </c>
      <c r="G502" s="737">
        <f>'Аксессуары (2)'!G502*1.6*($K$2/100+1)</f>
        <v>219.54240000000001</v>
      </c>
      <c r="H502" s="740">
        <f>'Аксессуары (2)'!H502*1.8*($K$2/100+1)</f>
        <v>343.03499999999997</v>
      </c>
      <c r="I502" s="740">
        <f>'Аксессуары (2)'!J502*1.48*($K$2/100+1)</f>
        <v>423.07650000000001</v>
      </c>
      <c r="J502" s="741">
        <f>'Аксессуары (2)'!J502*1.8*($K$2/100+1)</f>
        <v>514.55250000000001</v>
      </c>
    </row>
    <row r="503" spans="1:10" ht="14.95" customHeight="1">
      <c r="A503" s="424" t="s">
        <v>420</v>
      </c>
      <c r="B503" s="737">
        <f>'Аксессуары (2)'!B503*1.3*($K$2/100+1)</f>
        <v>122.72960699999999</v>
      </c>
      <c r="C503" s="737">
        <f>'Аксессуары (2)'!C503*1.3*($K$2/100+1)</f>
        <v>136.36622999999997</v>
      </c>
      <c r="D503" s="737">
        <f>'Аксессуары (2)'!D503*1.3*($K$2/100+1)</f>
        <v>150.00285299999999</v>
      </c>
      <c r="E503" s="737">
        <f>'Аксессуары (2)'!E503*1.6*($K$2/100+1)</f>
        <v>201.40243199999998</v>
      </c>
      <c r="F503" s="737">
        <f>'Аксессуары (2)'!F503*1.6*($K$2/100+1)</f>
        <v>221.54267519999996</v>
      </c>
      <c r="G503" s="737">
        <f>'Аксессуары (2)'!G503*1.6*($K$2/100+1)</f>
        <v>241.68291839999998</v>
      </c>
      <c r="H503" s="740">
        <f>'Аксессуары (2)'!H503*1.8*($K$2/100+1)</f>
        <v>377.62955999999997</v>
      </c>
      <c r="I503" s="740">
        <f>'Аксессуары (2)'!J503*1.48*($K$2/100+1)</f>
        <v>465.74312399999997</v>
      </c>
      <c r="J503" s="741">
        <f>'Аксессуары (2)'!J503*1.8*($K$2/100+1)</f>
        <v>566.44434000000001</v>
      </c>
    </row>
    <row r="504" spans="1:10" ht="14.95" customHeight="1">
      <c r="A504" s="424" t="s">
        <v>421</v>
      </c>
      <c r="B504" s="737">
        <f>'Аксессуары (2)'!B504*1.3*($K$2/100+1)</f>
        <v>129.05392499999999</v>
      </c>
      <c r="C504" s="737">
        <f>'Аксессуары (2)'!C504*1.3*($K$2/100+1)</f>
        <v>143.39324999999999</v>
      </c>
      <c r="D504" s="737">
        <f>'Аксессуары (2)'!D504*1.3*($K$2/100+1)</f>
        <v>157.732575</v>
      </c>
      <c r="E504" s="737">
        <f>'Аксессуары (2)'!E504*1.6*($K$2/100+1)</f>
        <v>211.78079999999994</v>
      </c>
      <c r="F504" s="737">
        <f>'Аксессуары (2)'!F504*1.6*($K$2/100+1)</f>
        <v>232.95887999999997</v>
      </c>
      <c r="G504" s="737">
        <f>'Аксессуары (2)'!G504*1.6*($K$2/100+1)</f>
        <v>254.13695999999996</v>
      </c>
      <c r="H504" s="740">
        <f>'Аксессуары (2)'!H504*1.8*($K$2/100+1)</f>
        <v>397.089</v>
      </c>
      <c r="I504" s="740">
        <f>'Аксессуары (2)'!J504*1.48*($K$2/100+1)</f>
        <v>489.74309999999991</v>
      </c>
      <c r="J504" s="741">
        <f>'Аксессуары (2)'!J504*1.8*($K$2/100+1)</f>
        <v>595.63349999999991</v>
      </c>
    </row>
    <row r="505" spans="1:10" ht="14.95" customHeight="1">
      <c r="A505" s="424" t="s">
        <v>422</v>
      </c>
      <c r="B505" s="737">
        <f>'Аксессуары (2)'!B505*1.3*($K$2/100+1)</f>
        <v>132.74311049999997</v>
      </c>
      <c r="C505" s="737">
        <f>'Аксессуары (2)'!C505*1.3*($K$2/100+1)</f>
        <v>147.49234499999997</v>
      </c>
      <c r="D505" s="737">
        <f>'Аксессуары (2)'!D505*1.3*($K$2/100+1)</f>
        <v>162.2415795</v>
      </c>
      <c r="E505" s="737">
        <f>'Аксессуары (2)'!E505*1.6*($K$2/100+1)</f>
        <v>217.83484799999999</v>
      </c>
      <c r="F505" s="737">
        <f>'Аксессуары (2)'!F505*1.6*($K$2/100+1)</f>
        <v>239.61833280000002</v>
      </c>
      <c r="G505" s="737">
        <f>'Аксессуары (2)'!G505*1.6*($K$2/100+1)</f>
        <v>261.40181759999996</v>
      </c>
      <c r="H505" s="740">
        <f>'Аксессуары (2)'!H505*1.8*($K$2/100+1)</f>
        <v>408.44033999999994</v>
      </c>
      <c r="I505" s="740">
        <f>'Аксессуары (2)'!J505*1.48*($K$2/100+1)</f>
        <v>503.74308599999995</v>
      </c>
      <c r="J505" s="741">
        <f>'Аксессуары (2)'!J505*1.8*($K$2/100+1)</f>
        <v>612.66050999999993</v>
      </c>
    </row>
    <row r="506" spans="1:10" ht="14.95" customHeight="1">
      <c r="A506" s="424" t="s">
        <v>423</v>
      </c>
      <c r="B506" s="737">
        <f>'Аксессуары (2)'!B506*1.3*($K$2/100+1)</f>
        <v>105.6890835</v>
      </c>
      <c r="C506" s="737">
        <f>'Аксессуары (2)'!C506*1.3*($K$2/100+1)</f>
        <v>117.43231499999999</v>
      </c>
      <c r="D506" s="737">
        <f>'Аксессуары (2)'!D506*1.3*($K$2/100+1)</f>
        <v>129.1755465</v>
      </c>
      <c r="E506" s="737">
        <f>'Аксессуары (2)'!E506*1.6*($K$2/100+1)</f>
        <v>173.43849599999999</v>
      </c>
      <c r="F506" s="737">
        <f>'Аксессуары (2)'!F506*1.6*($K$2/100+1)</f>
        <v>190.78234560000001</v>
      </c>
      <c r="G506" s="737">
        <f>'Аксессуары (2)'!G506*1.6*($K$2/100+1)</f>
        <v>208.12619520000001</v>
      </c>
      <c r="H506" s="740">
        <f>'Аксессуары (2)'!H506*1.8*($K$2/100+1)</f>
        <v>325.19718</v>
      </c>
      <c r="I506" s="740">
        <f>'Аксессуары (2)'!J506*1.48*($K$2/100+1)</f>
        <v>401.07652199999995</v>
      </c>
      <c r="J506" s="741">
        <f>'Аксессуары (2)'!J506*1.8*($K$2/100+1)</f>
        <v>487.79577</v>
      </c>
    </row>
    <row r="507" spans="1:10" ht="14.95" customHeight="1">
      <c r="A507" s="424" t="s">
        <v>424</v>
      </c>
      <c r="B507" s="737">
        <f>'Аксессуары (2)'!B507*1.3*($K$2/100+1)</f>
        <v>105.3377325</v>
      </c>
      <c r="C507" s="737">
        <f>'Аксессуары (2)'!C507*1.3*($K$2/100+1)</f>
        <v>117.04192499999999</v>
      </c>
      <c r="D507" s="737">
        <f>'Аксессуары (2)'!D507*1.3*($K$2/100+1)</f>
        <v>128.7461175</v>
      </c>
      <c r="E507" s="737">
        <f>'Аксессуары (2)'!E507*1.6*($K$2/100+1)</f>
        <v>172.86191999999997</v>
      </c>
      <c r="F507" s="737">
        <f>'Аксессуары (2)'!F507*1.6*($K$2/100+1)</f>
        <v>190.14811200000003</v>
      </c>
      <c r="G507" s="737">
        <f>'Аксессуары (2)'!G507*1.6*($K$2/100+1)</f>
        <v>207.43430399999997</v>
      </c>
      <c r="H507" s="740">
        <f>'Аксессуары (2)'!H507*1.8*($K$2/100+1)</f>
        <v>324.11609999999996</v>
      </c>
      <c r="I507" s="740">
        <f>'Аксессуары (2)'!J507*1.48*($K$2/100+1)</f>
        <v>399.74318999999997</v>
      </c>
      <c r="J507" s="741">
        <f>'Аксессуары (2)'!J507*1.8*($K$2/100+1)</f>
        <v>486.17415</v>
      </c>
    </row>
    <row r="508" spans="1:10" ht="14.95" customHeight="1">
      <c r="A508" s="424" t="s">
        <v>425</v>
      </c>
      <c r="B508" s="737">
        <f>'Аксессуары (2)'!B508*1.3*($K$2/100+1)</f>
        <v>122.9052825</v>
      </c>
      <c r="C508" s="737">
        <f>'Аксессуары (2)'!C508*1.3*($K$2/100+1)</f>
        <v>136.56142499999999</v>
      </c>
      <c r="D508" s="737">
        <f>'Аксессуары (2)'!D508*1.3*($K$2/100+1)</f>
        <v>150.2175675</v>
      </c>
      <c r="E508" s="737">
        <f>'Аксессуары (2)'!E508*1.6*($K$2/100+1)</f>
        <v>201.69072</v>
      </c>
      <c r="F508" s="737">
        <f>'Аксессуары (2)'!F508*1.6*($K$2/100+1)</f>
        <v>221.85979200000003</v>
      </c>
      <c r="G508" s="737">
        <f>'Аксессуары (2)'!G508*1.6*($K$2/100+1)</f>
        <v>242.02886399999997</v>
      </c>
      <c r="H508" s="740">
        <f>'Аксессуары (2)'!H508*1.8*($K$2/100+1)</f>
        <v>378.17009999999993</v>
      </c>
      <c r="I508" s="740">
        <f>'Аксессуары (2)'!J508*1.48*($K$2/100+1)</f>
        <v>466.40978999999993</v>
      </c>
      <c r="J508" s="741">
        <f>'Аксессуары (2)'!J508*1.8*($K$2/100+1)</f>
        <v>567.25514999999996</v>
      </c>
    </row>
    <row r="509" spans="1:10" ht="14.95" customHeight="1">
      <c r="A509" s="424" t="s">
        <v>426</v>
      </c>
      <c r="B509" s="737">
        <f>'Аксессуары (2)'!B509*1.3*($K$2/100+1)</f>
        <v>140.47283249999998</v>
      </c>
      <c r="C509" s="737">
        <f>'Аксессуары (2)'!C509*1.3*($K$2/100+1)</f>
        <v>156.08092499999995</v>
      </c>
      <c r="D509" s="737">
        <f>'Аксессуары (2)'!D509*1.3*($K$2/100+1)</f>
        <v>171.68901749999998</v>
      </c>
      <c r="E509" s="737">
        <f>'Аксессуары (2)'!E509*1.6*($K$2/100+1)</f>
        <v>230.51951999999994</v>
      </c>
      <c r="F509" s="737">
        <f>'Аксессуары (2)'!F509*1.6*($K$2/100+1)</f>
        <v>253.57147199999991</v>
      </c>
      <c r="G509" s="737">
        <f>'Аксессуары (2)'!G509*1.6*($K$2/100+1)</f>
        <v>276.62342399999994</v>
      </c>
      <c r="H509" s="740">
        <f>'Аксессуары (2)'!H509*1.8*($K$2/100+1)</f>
        <v>432.22409999999991</v>
      </c>
      <c r="I509" s="740">
        <f>'Аксессуары (2)'!J509*1.48*($K$2/100+1)</f>
        <v>533.07638999999983</v>
      </c>
      <c r="J509" s="741">
        <f>'Аксессуары (2)'!J509*1.8*($K$2/100+1)</f>
        <v>648.33614999999986</v>
      </c>
    </row>
    <row r="510" spans="1:10" ht="14.95" customHeight="1">
      <c r="A510" s="424" t="s">
        <v>427</v>
      </c>
      <c r="B510" s="737">
        <f>'Аксессуары (2)'!B510*1.3*($K$2/100+1)</f>
        <v>158.04038250000005</v>
      </c>
      <c r="C510" s="737">
        <f>'Аксессуары (2)'!C510*1.3*($K$2/100+1)</f>
        <v>175.600425</v>
      </c>
      <c r="D510" s="737">
        <f>'Аксессуары (2)'!D510*1.3*($K$2/100+1)</f>
        <v>193.16046750000004</v>
      </c>
      <c r="E510" s="737">
        <f>'Аксессуары (2)'!E510*1.6*($K$2/100+1)</f>
        <v>259.34832000000006</v>
      </c>
      <c r="F510" s="737">
        <f>'Аксессуары (2)'!F510*1.6*($K$2/100+1)</f>
        <v>285.28315200000009</v>
      </c>
      <c r="G510" s="737">
        <f>'Аксессуары (2)'!G510*1.6*($K$2/100+1)</f>
        <v>311.21798400000006</v>
      </c>
      <c r="H510" s="740">
        <f>'Аксессуары (2)'!H510*1.8*($K$2/100+1)</f>
        <v>486.27810000000005</v>
      </c>
      <c r="I510" s="740">
        <f>'Аксессуары (2)'!J510*1.48*($K$2/100+1)</f>
        <v>599.74299000000008</v>
      </c>
      <c r="J510" s="741">
        <f>'Аксессуары (2)'!J510*1.8*($K$2/100+1)</f>
        <v>729.41715000000011</v>
      </c>
    </row>
    <row r="511" spans="1:10" ht="14.95" customHeight="1">
      <c r="A511" s="424" t="s">
        <v>428</v>
      </c>
      <c r="B511" s="737">
        <f>'Аксессуары (2)'!B511*1.3*($K$2/100+1)</f>
        <v>175.60793250000003</v>
      </c>
      <c r="C511" s="737">
        <f>'Аксессуары (2)'!C511*1.3*($K$2/100+1)</f>
        <v>195.11992499999999</v>
      </c>
      <c r="D511" s="737">
        <f>'Аксессуары (2)'!D511*1.3*($K$2/100+1)</f>
        <v>214.63191750000004</v>
      </c>
      <c r="E511" s="737">
        <f>'Аксессуары (2)'!E511*1.6*($K$2/100+1)</f>
        <v>288.17712</v>
      </c>
      <c r="F511" s="737">
        <f>'Аксессуары (2)'!F511*1.6*($K$2/100+1)</f>
        <v>316.99483200000003</v>
      </c>
      <c r="G511" s="737">
        <f>'Аксессуары (2)'!G511*1.6*($K$2/100+1)</f>
        <v>345.812544</v>
      </c>
      <c r="H511" s="740">
        <f>'Аксессуары (2)'!H511*1.8*($K$2/100+1)</f>
        <v>540.33210000000008</v>
      </c>
      <c r="I511" s="740">
        <f>'Аксессуары (2)'!J511*1.48*($K$2/100+1)</f>
        <v>666.40958999999998</v>
      </c>
      <c r="J511" s="741">
        <f>'Аксессуары (2)'!J511*1.8*($K$2/100+1)</f>
        <v>810.4981499999999</v>
      </c>
    </row>
    <row r="512" spans="1:10" ht="14.95" customHeight="1" thickBot="1">
      <c r="A512" s="425" t="s">
        <v>429</v>
      </c>
      <c r="B512" s="737">
        <f>'Аксессуары (2)'!B512*1.3*($K$2/100+1)</f>
        <v>193.17548249999999</v>
      </c>
      <c r="C512" s="737">
        <f>'Аксессуары (2)'!C512*1.3*($K$2/100+1)</f>
        <v>214.63942499999996</v>
      </c>
      <c r="D512" s="737">
        <f>'Аксессуары (2)'!D512*1.3*($K$2/100+1)</f>
        <v>236.10336749999999</v>
      </c>
      <c r="E512" s="737">
        <f>'Аксессуары (2)'!E512*1.6*($K$2/100+1)</f>
        <v>317.00591999999995</v>
      </c>
      <c r="F512" s="737">
        <f>'Аксессуары (2)'!F512*1.6*($K$2/100+1)</f>
        <v>348.70651200000003</v>
      </c>
      <c r="G512" s="737">
        <f>'Аксессуары (2)'!G512*1.6*($K$2/100+1)</f>
        <v>380.40710399999995</v>
      </c>
      <c r="H512" s="742">
        <f>'Аксессуары (2)'!H512*1.8*($K$2/100+1)</f>
        <v>594.38609999999994</v>
      </c>
      <c r="I512" s="742">
        <f>'Аксессуары (2)'!J512*1.48*($K$2/100+1)</f>
        <v>733.07618999999988</v>
      </c>
      <c r="J512" s="743">
        <f>'Аксессуары (2)'!J512*1.8*($K$2/100+1)</f>
        <v>891.57914999999991</v>
      </c>
    </row>
    <row r="513" spans="1:10" s="254" customFormat="1" ht="14.95" customHeight="1" thickBot="1">
      <c r="A513" s="615" t="s">
        <v>2160</v>
      </c>
      <c r="B513" s="842"/>
      <c r="C513" s="843"/>
      <c r="D513" s="843"/>
      <c r="E513" s="843"/>
      <c r="F513" s="843"/>
      <c r="G513" s="843"/>
      <c r="H513" s="843"/>
      <c r="I513" s="843"/>
      <c r="J513" s="844"/>
    </row>
    <row r="514" spans="1:10" ht="14.95" customHeight="1">
      <c r="A514" s="413" t="s">
        <v>430</v>
      </c>
      <c r="B514" s="737">
        <f>'Аксессуары (2)'!B514*1.3*($K$2/100+1)</f>
        <v>282.0788685</v>
      </c>
      <c r="C514" s="737">
        <f>'Аксессуары (2)'!C514*1.3*($K$2/100+1)</f>
        <v>313.42096499999997</v>
      </c>
      <c r="D514" s="737">
        <f>'Аксессуары (2)'!D514*1.3*($K$2/100+1)</f>
        <v>344.76306149999999</v>
      </c>
      <c r="E514" s="737">
        <f>'Аксессуары (2)'!E514*1.6*($K$2/100+1)</f>
        <v>462.89865600000002</v>
      </c>
      <c r="F514" s="737">
        <f>'Аксессуары (2)'!F514*1.6*($K$2/100+1)</f>
        <v>509.1885216</v>
      </c>
      <c r="G514" s="737">
        <f>'Аксессуары (2)'!G514*1.6*($K$2/100+1)</f>
        <v>555.47838719999993</v>
      </c>
      <c r="H514" s="738">
        <f>'Аксессуары (2)'!H514*1.8*($K$2/100+1)</f>
        <v>867.93498</v>
      </c>
      <c r="I514" s="738">
        <f>'Аксессуары (2)'!J514*1.5*($K$2/100+1)</f>
        <v>1084.9187249999998</v>
      </c>
      <c r="J514" s="739">
        <f>'Аксессуары (2)'!J514*1.8*($K$2/100+1)</f>
        <v>1301.90247</v>
      </c>
    </row>
    <row r="515" spans="1:10" ht="14.95" customHeight="1">
      <c r="A515" s="424" t="s">
        <v>431</v>
      </c>
      <c r="B515" s="737">
        <f>'Аксессуары (2)'!B515*1.3*($K$2/100+1)</f>
        <v>276.28157700000003</v>
      </c>
      <c r="C515" s="737">
        <f>'Аксессуары (2)'!C515*1.3*($K$2/100+1)</f>
        <v>306.97953000000001</v>
      </c>
      <c r="D515" s="737">
        <f>'Аксессуары (2)'!D515*1.3*($K$2/100+1)</f>
        <v>337.67748300000005</v>
      </c>
      <c r="E515" s="737">
        <f>'Аксессуары (2)'!E515*1.6*($K$2/100+1)</f>
        <v>453.38515200000001</v>
      </c>
      <c r="F515" s="737">
        <f>'Аксессуары (2)'!F515*1.6*($K$2/100+1)</f>
        <v>498.72366720000008</v>
      </c>
      <c r="G515" s="737">
        <f>'Аксессуары (2)'!G515*1.6*($K$2/100+1)</f>
        <v>544.06218239999987</v>
      </c>
      <c r="H515" s="740">
        <f>'Аксессуары (2)'!H515*1.8*($K$2/100+1)</f>
        <v>850.09716000000003</v>
      </c>
      <c r="I515" s="740">
        <f>'Аксессуары (2)'!J515*1.5*($K$2/100+1)</f>
        <v>1062.6214499999999</v>
      </c>
      <c r="J515" s="741">
        <f>'Аксессуары (2)'!J515*1.8*($K$2/100+1)</f>
        <v>1275.1457399999999</v>
      </c>
    </row>
    <row r="516" spans="1:10" ht="14.95" customHeight="1">
      <c r="A516" s="424" t="s">
        <v>432</v>
      </c>
      <c r="B516" s="737">
        <f>'Аксессуары (2)'!B516*1.3*($K$2/100+1)</f>
        <v>286.64643150000001</v>
      </c>
      <c r="C516" s="737">
        <f>'Аксессуары (2)'!C516*1.3*($K$2/100+1)</f>
        <v>318.49603500000001</v>
      </c>
      <c r="D516" s="737">
        <f>'Аксессуары (2)'!D516*1.3*($K$2/100+1)</f>
        <v>350.34563850000001</v>
      </c>
      <c r="E516" s="737">
        <f>'Аксессуары (2)'!E516*1.6*($K$2/100+1)</f>
        <v>470.39414399999998</v>
      </c>
      <c r="F516" s="737">
        <f>'Аксессуары (2)'!F516*1.6*($K$2/100+1)</f>
        <v>517.43355840000004</v>
      </c>
      <c r="G516" s="737">
        <f>'Аксессуары (2)'!G516*1.6*($K$2/100+1)</f>
        <v>564.47297279999998</v>
      </c>
      <c r="H516" s="740">
        <f>'Аксессуары (2)'!H516*1.8*($K$2/100+1)</f>
        <v>881.98901999999998</v>
      </c>
      <c r="I516" s="740">
        <f>'Аксессуары (2)'!J516*1.5*($K$2/100+1)</f>
        <v>1102.486275</v>
      </c>
      <c r="J516" s="741">
        <f>'Аксессуары (2)'!J516*1.8*($K$2/100+1)</f>
        <v>1322.98353</v>
      </c>
    </row>
    <row r="517" spans="1:10" ht="14.95" customHeight="1">
      <c r="A517" s="424" t="s">
        <v>433</v>
      </c>
      <c r="B517" s="737">
        <f>'Аксессуары (2)'!B517*1.3*($K$2/100+1)</f>
        <v>285.41670300000004</v>
      </c>
      <c r="C517" s="737">
        <f>'Аксессуары (2)'!C517*1.3*($K$2/100+1)</f>
        <v>317.12966999999998</v>
      </c>
      <c r="D517" s="737">
        <f>'Аксессуары (2)'!D517*1.3*($K$2/100+1)</f>
        <v>348.84263700000002</v>
      </c>
      <c r="E517" s="737">
        <f>'Аксессуары (2)'!E517*1.6*($K$2/100+1)</f>
        <v>468.37612799999999</v>
      </c>
      <c r="F517" s="737">
        <f>'Аксессуары (2)'!F517*1.6*($K$2/100+1)</f>
        <v>515.21374079999998</v>
      </c>
      <c r="G517" s="737">
        <f>'Аксессуары (2)'!G517*1.6*($K$2/100+1)</f>
        <v>562.05135359999997</v>
      </c>
      <c r="H517" s="740">
        <f>'Аксессуары (2)'!H517*1.8*($K$2/100+1)</f>
        <v>878.20524000000012</v>
      </c>
      <c r="I517" s="740">
        <f>'Аксессуары (2)'!J517*1.5*($K$2/100+1)</f>
        <v>1097.7565500000001</v>
      </c>
      <c r="J517" s="741">
        <f>'Аксессуары (2)'!J517*1.8*($K$2/100+1)</f>
        <v>1317.3078600000001</v>
      </c>
    </row>
    <row r="518" spans="1:10" ht="14.95" customHeight="1">
      <c r="A518" s="424" t="s">
        <v>434</v>
      </c>
      <c r="B518" s="737">
        <f>'Аксессуары (2)'!B518*1.3*($K$2/100+1)</f>
        <v>301.57884899999999</v>
      </c>
      <c r="C518" s="737">
        <f>'Аксессуары (2)'!C518*1.3*($K$2/100+1)</f>
        <v>335.08760999999993</v>
      </c>
      <c r="D518" s="737">
        <f>'Аксессуары (2)'!D518*1.3*($K$2/100+1)</f>
        <v>368.59637099999998</v>
      </c>
      <c r="E518" s="737">
        <f>'Аксессуары (2)'!E518*1.6*($K$2/100+1)</f>
        <v>494.89862399999998</v>
      </c>
      <c r="F518" s="737">
        <f>'Аксессуары (2)'!F518*1.6*($K$2/100+1)</f>
        <v>544.38848639999992</v>
      </c>
      <c r="G518" s="737">
        <f>'Аксессуары (2)'!G518*1.6*($K$2/100+1)</f>
        <v>593.8783487999998</v>
      </c>
      <c r="H518" s="740">
        <f>'Аксессуары (2)'!H518*1.8*($K$2/100+1)</f>
        <v>927.93491999999981</v>
      </c>
      <c r="I518" s="740">
        <f>'Аксессуары (2)'!J518*1.5*($K$2/100+1)</f>
        <v>1159.9186499999998</v>
      </c>
      <c r="J518" s="741">
        <f>'Аксессуары (2)'!J518*1.8*($K$2/100+1)</f>
        <v>1391.90238</v>
      </c>
    </row>
    <row r="519" spans="1:10" ht="14.95" customHeight="1">
      <c r="A519" s="424" t="s">
        <v>435</v>
      </c>
      <c r="B519" s="737">
        <f>'Аксессуары (2)'!B519*1.3*($K$2/100+1)</f>
        <v>302.10587549999991</v>
      </c>
      <c r="C519" s="737">
        <f>'Аксессуары (2)'!C519*1.3*($K$2/100+1)</f>
        <v>335.67319499999996</v>
      </c>
      <c r="D519" s="737">
        <f>'Аксессуары (2)'!D519*1.3*($K$2/100+1)</f>
        <v>369.24051449999996</v>
      </c>
      <c r="E519" s="737">
        <f>'Аксессуары (2)'!E519*1.6*($K$2/100+1)</f>
        <v>495.76348799999988</v>
      </c>
      <c r="F519" s="737">
        <f>'Аксессуары (2)'!F519*1.6*($K$2/100+1)</f>
        <v>545.33983680000006</v>
      </c>
      <c r="G519" s="737">
        <f>'Аксессуары (2)'!G519*1.6*($K$2/100+1)</f>
        <v>594.91618559999995</v>
      </c>
      <c r="H519" s="740">
        <f>'Аксессуары (2)'!H519*1.8*($K$2/100+1)</f>
        <v>929.55653999999981</v>
      </c>
      <c r="I519" s="740">
        <f>'Аксессуары (2)'!J519*1.5*($K$2/100+1)</f>
        <v>1161.9456749999999</v>
      </c>
      <c r="J519" s="741">
        <f>'Аксессуары (2)'!J519*1.8*($K$2/100+1)</f>
        <v>1394.3348099999998</v>
      </c>
    </row>
    <row r="520" spans="1:10" ht="14.95" customHeight="1">
      <c r="A520" s="424" t="s">
        <v>436</v>
      </c>
      <c r="B520" s="737">
        <f>'Аксессуары (2)'!B520*1.3*($K$2/100+1)</f>
        <v>299.64641849999998</v>
      </c>
      <c r="C520" s="737">
        <f>'Аксессуары (2)'!C520*1.3*($K$2/100+1)</f>
        <v>332.94046499999996</v>
      </c>
      <c r="D520" s="737">
        <f>'Аксессуары (2)'!D520*1.3*($K$2/100+1)</f>
        <v>366.2345115</v>
      </c>
      <c r="E520" s="737">
        <f>'Аксессуары (2)'!E520*1.6*($K$2/100+1)</f>
        <v>491.72745599999996</v>
      </c>
      <c r="F520" s="737">
        <f>'Аксессуары (2)'!F520*1.6*($K$2/100+1)</f>
        <v>540.90020159999995</v>
      </c>
      <c r="G520" s="737">
        <f>'Аксессуары (2)'!G520*1.6*($K$2/100+1)</f>
        <v>590.07294719999993</v>
      </c>
      <c r="H520" s="740">
        <f>'Аксессуары (2)'!H520*1.8*($K$2/100+1)</f>
        <v>921.98897999999997</v>
      </c>
      <c r="I520" s="740">
        <f>'Аксессуары (2)'!J520*1.5*($K$2/100+1)</f>
        <v>1152.4862249999999</v>
      </c>
      <c r="J520" s="741">
        <f>'Аксессуары (2)'!J520*1.8*($K$2/100+1)</f>
        <v>1382.9834699999999</v>
      </c>
    </row>
    <row r="521" spans="1:10" ht="14.95" customHeight="1">
      <c r="A521" s="424" t="s">
        <v>437</v>
      </c>
      <c r="B521" s="737">
        <f>'Аксессуары (2)'!B521*1.3*($K$2/100+1)</f>
        <v>320.02477649999997</v>
      </c>
      <c r="C521" s="737">
        <f>'Аксессуары (2)'!C521*1.3*($K$2/100+1)</f>
        <v>355.58308499999998</v>
      </c>
      <c r="D521" s="737">
        <f>'Аксессуары (2)'!D521*1.3*($K$2/100+1)</f>
        <v>391.14139349999999</v>
      </c>
      <c r="E521" s="737">
        <f>'Аксессуары (2)'!E521*1.6*($K$2/100+1)</f>
        <v>525.16886399999999</v>
      </c>
      <c r="F521" s="737">
        <f>'Аксессуары (2)'!F521*1.6*($K$2/100+1)</f>
        <v>577.68575039999996</v>
      </c>
      <c r="G521" s="737">
        <f>'Аксессуары (2)'!G521*1.6*($K$2/100+1)</f>
        <v>630.20263679999994</v>
      </c>
      <c r="H521" s="740">
        <f>'Аксессуары (2)'!H521*1.8*($K$2/100+1)</f>
        <v>984.69161999999983</v>
      </c>
      <c r="I521" s="740">
        <f>'Аксессуары (2)'!J521*1.5*($K$2/100+1)</f>
        <v>1230.8645249999997</v>
      </c>
      <c r="J521" s="741">
        <f>'Аксессуары (2)'!J521*1.8*($K$2/100+1)</f>
        <v>1477.0374299999999</v>
      </c>
    </row>
    <row r="522" spans="1:10" ht="14.95" customHeight="1">
      <c r="A522" s="424" t="s">
        <v>438</v>
      </c>
      <c r="B522" s="737">
        <f>'Аксессуары (2)'!B522*1.3*($K$2/100+1)</f>
        <v>318.09234600000002</v>
      </c>
      <c r="C522" s="737">
        <f>'Аксессуары (2)'!C522*1.3*($K$2/100+1)</f>
        <v>353.43593999999996</v>
      </c>
      <c r="D522" s="737">
        <f>'Аксессуары (2)'!D522*1.3*($K$2/100+1)</f>
        <v>388.77953400000001</v>
      </c>
      <c r="E522" s="737">
        <f>'Аксессуары (2)'!E522*1.6*($K$2/100+1)</f>
        <v>521.99769599999991</v>
      </c>
      <c r="F522" s="737">
        <f>'Аксессуары (2)'!F522*1.6*($K$2/100+1)</f>
        <v>574.19746559999999</v>
      </c>
      <c r="G522" s="737">
        <f>'Аксессуары (2)'!G522*1.6*($K$2/100+1)</f>
        <v>626.39723519999995</v>
      </c>
      <c r="H522" s="740">
        <f>'Аксессуары (2)'!H522*1.8*($K$2/100+1)</f>
        <v>978.74567999999999</v>
      </c>
      <c r="I522" s="740">
        <f>'Аксессуары (2)'!J522*1.5*($K$2/100+1)</f>
        <v>1223.4320999999998</v>
      </c>
      <c r="J522" s="741">
        <f>'Аксессуары (2)'!J522*1.8*($K$2/100+1)</f>
        <v>1468.1185199999998</v>
      </c>
    </row>
    <row r="523" spans="1:10" ht="14.95" customHeight="1">
      <c r="A523" s="424" t="s">
        <v>439</v>
      </c>
      <c r="B523" s="737">
        <f>'Аксессуары (2)'!B523*1.3*($K$2/100+1)</f>
        <v>333.20043900000002</v>
      </c>
      <c r="C523" s="737">
        <f>'Аксессуары (2)'!C523*1.3*($K$2/100+1)</f>
        <v>370.22271000000001</v>
      </c>
      <c r="D523" s="737">
        <f>'Аксессуары (2)'!D523*1.3*($K$2/100+1)</f>
        <v>407.24498100000005</v>
      </c>
      <c r="E523" s="737">
        <f>'Аксессуары (2)'!E523*1.6*($K$2/100+1)</f>
        <v>546.79046400000004</v>
      </c>
      <c r="F523" s="737">
        <f>'Аксессуары (2)'!F523*1.6*($K$2/100+1)</f>
        <v>601.4695104000001</v>
      </c>
      <c r="G523" s="737">
        <f>'Аксессуары (2)'!G523*1.6*($K$2/100+1)</f>
        <v>656.14855679999994</v>
      </c>
      <c r="H523" s="740">
        <f>'Аксессуары (2)'!H523*1.8*($K$2/100+1)</f>
        <v>1025.2321200000001</v>
      </c>
      <c r="I523" s="740">
        <f>'Аксессуары (2)'!J523*1.5*($K$2/100+1)</f>
        <v>1281.5401500000003</v>
      </c>
      <c r="J523" s="741">
        <f>'Аксессуары (2)'!J523*1.8*($K$2/100+1)</f>
        <v>1537.8481800000002</v>
      </c>
    </row>
    <row r="524" spans="1:10" ht="14.95" customHeight="1">
      <c r="A524" s="424" t="s">
        <v>440</v>
      </c>
      <c r="B524" s="737">
        <f>'Аксессуары (2)'!B524*1.3*($K$2/100+1)</f>
        <v>334.7815185</v>
      </c>
      <c r="C524" s="737">
        <f>'Аксессуары (2)'!C524*1.3*($K$2/100+1)</f>
        <v>371.979465</v>
      </c>
      <c r="D524" s="737">
        <f>'Аксессуары (2)'!D524*1.3*($K$2/100+1)</f>
        <v>409.17741150000001</v>
      </c>
      <c r="E524" s="737">
        <f>'Аксессуары (2)'!E524*1.6*($K$2/100+1)</f>
        <v>549.38505599999996</v>
      </c>
      <c r="F524" s="737">
        <f>'Аксессуары (2)'!F524*1.6*($K$2/100+1)</f>
        <v>604.32356159999995</v>
      </c>
      <c r="G524" s="737">
        <f>'Аксессуары (2)'!G524*1.6*($K$2/100+1)</f>
        <v>659.26206719999993</v>
      </c>
      <c r="H524" s="740">
        <f>'Аксессуары (2)'!H524*1.8*($K$2/100+1)</f>
        <v>1030.09698</v>
      </c>
      <c r="I524" s="740">
        <f>'Аксессуары (2)'!J524*1.5*($K$2/100+1)</f>
        <v>1287.6212249999999</v>
      </c>
      <c r="J524" s="741">
        <f>'Аксессуары (2)'!J524*1.8*($K$2/100+1)</f>
        <v>1545.1454699999997</v>
      </c>
    </row>
    <row r="525" spans="1:10" ht="14.95" customHeight="1">
      <c r="A525" s="424" t="s">
        <v>441</v>
      </c>
      <c r="B525" s="737">
        <f>'Аксессуары (2)'!B525*1.3*($K$2/100+1)</f>
        <v>333.20043900000002</v>
      </c>
      <c r="C525" s="737">
        <f>'Аксессуары (2)'!C525*1.3*($K$2/100+1)</f>
        <v>370.22271000000001</v>
      </c>
      <c r="D525" s="737">
        <f>'Аксессуары (2)'!D525*1.3*($K$2/100+1)</f>
        <v>407.24498100000005</v>
      </c>
      <c r="E525" s="737">
        <f>'Аксессуары (2)'!E525*1.6*($K$2/100+1)</f>
        <v>546.79046400000004</v>
      </c>
      <c r="F525" s="737">
        <f>'Аксессуары (2)'!F525*1.6*($K$2/100+1)</f>
        <v>601.4695104000001</v>
      </c>
      <c r="G525" s="737">
        <f>'Аксессуары (2)'!G525*1.6*($K$2/100+1)</f>
        <v>656.14855679999994</v>
      </c>
      <c r="H525" s="740">
        <f>'Аксессуары (2)'!H525*1.8*($K$2/100+1)</f>
        <v>1025.2321200000001</v>
      </c>
      <c r="I525" s="740">
        <f>'Аксессуары (2)'!J525*1.5*($K$2/100+1)</f>
        <v>1281.5401500000003</v>
      </c>
      <c r="J525" s="741">
        <f>'Аксессуары (2)'!J525*1.8*($K$2/100+1)</f>
        <v>1537.8481800000002</v>
      </c>
    </row>
    <row r="526" spans="1:10" ht="14.95" customHeight="1">
      <c r="A526" s="424" t="s">
        <v>442</v>
      </c>
      <c r="B526" s="737">
        <f>'Аксессуары (2)'!B526*1.3*($K$2/100+1)</f>
        <v>354.98420100000004</v>
      </c>
      <c r="C526" s="737">
        <f>'Аксессуары (2)'!C526*1.3*($K$2/100+1)</f>
        <v>394.42689000000001</v>
      </c>
      <c r="D526" s="737">
        <f>'Аксессуары (2)'!D526*1.3*($K$2/100+1)</f>
        <v>433.86957900000004</v>
      </c>
      <c r="E526" s="737">
        <f>'Аксессуары (2)'!E526*1.6*($K$2/100+1)</f>
        <v>582.53817600000002</v>
      </c>
      <c r="F526" s="737">
        <f>'Аксессуары (2)'!F526*1.6*($K$2/100+1)</f>
        <v>640.79199359999996</v>
      </c>
      <c r="G526" s="737">
        <f>'Аксессуары (2)'!G526*1.6*($K$2/100+1)</f>
        <v>699.0458112</v>
      </c>
      <c r="H526" s="740">
        <f>'Аксессуары (2)'!H526*1.8*($K$2/100+1)</f>
        <v>1092.25908</v>
      </c>
      <c r="I526" s="740">
        <f>'Аксессуары (2)'!J526*1.5*($K$2/100+1)</f>
        <v>1365.3238499999998</v>
      </c>
      <c r="J526" s="741">
        <f>'Аксессуары (2)'!J526*1.8*($K$2/100+1)</f>
        <v>1638.3886199999997</v>
      </c>
    </row>
    <row r="527" spans="1:10" ht="14.95" customHeight="1">
      <c r="A527" s="424" t="s">
        <v>443</v>
      </c>
      <c r="B527" s="737">
        <f>'Аксессуары (2)'!B527*1.3*($K$2/100+1)</f>
        <v>373.0787775</v>
      </c>
      <c r="C527" s="737">
        <f>'Аксессуары (2)'!C527*1.3*($K$2/100+1)</f>
        <v>414.53197499999999</v>
      </c>
      <c r="D527" s="737">
        <f>'Аксессуары (2)'!D527*1.3*($K$2/100+1)</f>
        <v>455.98517249999998</v>
      </c>
      <c r="E527" s="737">
        <f>'Аксессуары (2)'!E527*1.6*($K$2/100+1)</f>
        <v>612.23183999999992</v>
      </c>
      <c r="F527" s="737">
        <f>'Аксессуары (2)'!F527*1.6*($K$2/100+1)</f>
        <v>673.45502399999998</v>
      </c>
      <c r="G527" s="737">
        <f>'Аксессуары (2)'!G527*1.6*($K$2/100+1)</f>
        <v>734.67820799999993</v>
      </c>
      <c r="H527" s="740">
        <f>'Аксессуары (2)'!H527*1.8*($K$2/100+1)</f>
        <v>1147.9346999999998</v>
      </c>
      <c r="I527" s="740">
        <f>'Аксессуары (2)'!J527*1.5*($K$2/100+1)</f>
        <v>1434.918375</v>
      </c>
      <c r="J527" s="741">
        <f>'Аксессуары (2)'!J527*1.8*($K$2/100+1)</f>
        <v>1721.9020499999999</v>
      </c>
    </row>
    <row r="528" spans="1:10" ht="14.95" customHeight="1">
      <c r="A528" s="424" t="s">
        <v>444</v>
      </c>
      <c r="B528" s="737">
        <f>'Аксессуары (2)'!B528*1.3*($K$2/100+1)</f>
        <v>288.75453750000003</v>
      </c>
      <c r="C528" s="737">
        <f>'Аксессуары (2)'!C528*1.3*($K$2/100+1)</f>
        <v>320.83837499999998</v>
      </c>
      <c r="D528" s="737">
        <f>'Аксессуары (2)'!D528*1.3*($K$2/100+1)</f>
        <v>352.9222125</v>
      </c>
      <c r="E528" s="737">
        <f>'Аксессуары (2)'!E528*1.6*($K$2/100+1)</f>
        <v>473.85359999999991</v>
      </c>
      <c r="F528" s="737">
        <f>'Аксессуары (2)'!F528*1.6*($K$2/100+1)</f>
        <v>521.23896000000002</v>
      </c>
      <c r="G528" s="737">
        <f>'Аксессуары (2)'!G528*1.6*($K$2/100+1)</f>
        <v>568.6243199999999</v>
      </c>
      <c r="H528" s="740">
        <f>'Аксессуары (2)'!H528*1.8*($K$2/100+1)</f>
        <v>888.47550000000001</v>
      </c>
      <c r="I528" s="740">
        <f>'Аксессуары (2)'!J528*1.5*($K$2/100+1)</f>
        <v>1110.5943749999999</v>
      </c>
      <c r="J528" s="741">
        <f>'Аксессуары (2)'!J528*1.8*($K$2/100+1)</f>
        <v>1332.7132499999998</v>
      </c>
    </row>
    <row r="529" spans="1:10" ht="14.95" customHeight="1">
      <c r="A529" s="424" t="s">
        <v>445</v>
      </c>
      <c r="B529" s="737">
        <f>'Аксессуары (2)'!B529*1.3*($K$2/100+1)</f>
        <v>296.83561049999997</v>
      </c>
      <c r="C529" s="737">
        <f>'Аксессуары (2)'!C529*1.3*($K$2/100+1)</f>
        <v>329.81734499999999</v>
      </c>
      <c r="D529" s="737">
        <f>'Аксессуары (2)'!D529*1.3*($K$2/100+1)</f>
        <v>362.7990795</v>
      </c>
      <c r="E529" s="737">
        <f>'Аксессуары (2)'!E529*1.6*($K$2/100+1)</f>
        <v>487.11484799999994</v>
      </c>
      <c r="F529" s="737">
        <f>'Аксессуары (2)'!F529*1.6*($K$2/100+1)</f>
        <v>535.82633280000005</v>
      </c>
      <c r="G529" s="737">
        <f>'Аксессуары (2)'!G529*1.6*($K$2/100+1)</f>
        <v>584.53781759999993</v>
      </c>
      <c r="H529" s="740">
        <f>'Аксессуары (2)'!H529*1.8*($K$2/100+1)</f>
        <v>913.34033999999986</v>
      </c>
      <c r="I529" s="740">
        <f>'Аксессуары (2)'!J529*1.5*($K$2/100+1)</f>
        <v>1141.6754250000001</v>
      </c>
      <c r="J529" s="741">
        <f>'Аксессуары (2)'!J529*1.8*($K$2/100+1)</f>
        <v>1370.0105100000001</v>
      </c>
    </row>
    <row r="530" spans="1:10" ht="14.95" customHeight="1">
      <c r="A530" s="424" t="s">
        <v>446</v>
      </c>
      <c r="B530" s="737">
        <f>'Аксессуары (2)'!B530*1.3*($K$2/100+1)</f>
        <v>298.06533899999999</v>
      </c>
      <c r="C530" s="737">
        <f>'Аксессуары (2)'!C530*1.3*($K$2/100+1)</f>
        <v>331.18370999999996</v>
      </c>
      <c r="D530" s="737">
        <f>'Аксессуары (2)'!D530*1.3*($K$2/100+1)</f>
        <v>364.30208100000004</v>
      </c>
      <c r="E530" s="737">
        <f>'Аксессуары (2)'!E530*1.6*($K$2/100+1)</f>
        <v>489.13286399999987</v>
      </c>
      <c r="F530" s="737">
        <f>'Аксессуары (2)'!F530*1.6*($K$2/100+1)</f>
        <v>538.0461504000001</v>
      </c>
      <c r="G530" s="737">
        <f>'Аксессуары (2)'!G530*1.6*($K$2/100+1)</f>
        <v>586.95943679999993</v>
      </c>
      <c r="H530" s="740">
        <f>'Аксессуары (2)'!H530*1.8*($K$2/100+1)</f>
        <v>917.12411999999995</v>
      </c>
      <c r="I530" s="740">
        <f>'Аксессуары (2)'!J530*1.5*($K$2/100+1)</f>
        <v>1146.4051499999998</v>
      </c>
      <c r="J530" s="741">
        <f>'Аксессуары (2)'!J530*1.8*($K$2/100+1)</f>
        <v>1375.6861799999999</v>
      </c>
    </row>
    <row r="531" spans="1:10" ht="14.95" customHeight="1">
      <c r="A531" s="424" t="s">
        <v>447</v>
      </c>
      <c r="B531" s="737">
        <f>'Аксессуары (2)'!B531*1.3*($K$2/100+1)</f>
        <v>316.33559099999997</v>
      </c>
      <c r="C531" s="737">
        <f>'Аксессуары (2)'!C531*1.3*($K$2/100+1)</f>
        <v>351.48399000000001</v>
      </c>
      <c r="D531" s="737">
        <f>'Аксессуары (2)'!D531*1.3*($K$2/100+1)</f>
        <v>386.63238899999999</v>
      </c>
      <c r="E531" s="737">
        <f>'Аксессуары (2)'!E531*1.6*($K$2/100+1)</f>
        <v>519.11481600000002</v>
      </c>
      <c r="F531" s="737">
        <f>'Аксессуары (2)'!F531*1.6*($K$2/100+1)</f>
        <v>571.02629760000002</v>
      </c>
      <c r="G531" s="737">
        <f>'Аксессуары (2)'!G531*1.6*($K$2/100+1)</f>
        <v>622.93777920000002</v>
      </c>
      <c r="H531" s="740">
        <f>'Аксессуары (2)'!H531*1.8*($K$2/100+1)</f>
        <v>973.34027999999989</v>
      </c>
      <c r="I531" s="740">
        <f>'Аксессуары (2)'!J531*1.5*($K$2/100+1)</f>
        <v>1216.67535</v>
      </c>
      <c r="J531" s="741">
        <f>'Аксессуары (2)'!J531*1.8*($K$2/100+1)</f>
        <v>1460.0104200000001</v>
      </c>
    </row>
    <row r="532" spans="1:10" ht="14.95" customHeight="1">
      <c r="A532" s="424" t="s">
        <v>448</v>
      </c>
      <c r="B532" s="737">
        <f>'Аксессуары (2)'!B532*1.3*($K$2/100+1)</f>
        <v>319.49775</v>
      </c>
      <c r="C532" s="737">
        <f>'Аксессуары (2)'!C532*1.3*($K$2/100+1)</f>
        <v>354.9975</v>
      </c>
      <c r="D532" s="737">
        <f>'Аксессуары (2)'!D532*1.3*($K$2/100+1)</f>
        <v>390.49725000000001</v>
      </c>
      <c r="E532" s="737">
        <f>'Аксессуары (2)'!E532*1.6*($K$2/100+1)</f>
        <v>524.30399999999997</v>
      </c>
      <c r="F532" s="737">
        <f>'Аксессуары (2)'!F532*1.6*($K$2/100+1)</f>
        <v>576.73440000000005</v>
      </c>
      <c r="G532" s="737">
        <f>'Аксессуары (2)'!G532*1.6*($K$2/100+1)</f>
        <v>629.16480000000001</v>
      </c>
      <c r="H532" s="740">
        <f>'Аксессуары (2)'!H532*1.8*($K$2/100+1)</f>
        <v>983.07</v>
      </c>
      <c r="I532" s="740">
        <f>'Аксессуары (2)'!J532*1.5*($K$2/100+1)</f>
        <v>1228.8374999999999</v>
      </c>
      <c r="J532" s="741">
        <f>'Аксессуары (2)'!J532*1.8*($K$2/100+1)</f>
        <v>1474.605</v>
      </c>
    </row>
    <row r="533" spans="1:10" ht="14.95" customHeight="1">
      <c r="A533" s="424" t="s">
        <v>449</v>
      </c>
      <c r="B533" s="737">
        <f>'Аксессуары (2)'!B533*1.3*($K$2/100+1)</f>
        <v>315.45721349999997</v>
      </c>
      <c r="C533" s="737">
        <f>'Аксессуары (2)'!C533*1.3*($K$2/100+1)</f>
        <v>350.50801499999994</v>
      </c>
      <c r="D533" s="737">
        <f>'Аксессуары (2)'!D533*1.3*($K$2/100+1)</f>
        <v>385.55881650000003</v>
      </c>
      <c r="E533" s="737">
        <f>'Аксессуары (2)'!E533*1.6*($K$2/100+1)</f>
        <v>517.67337599999996</v>
      </c>
      <c r="F533" s="737">
        <f>'Аксессуары (2)'!F533*1.6*($K$2/100+1)</f>
        <v>569.44071359999998</v>
      </c>
      <c r="G533" s="737">
        <f>'Аксессуары (2)'!G533*1.6*($K$2/100+1)</f>
        <v>621.20805119999989</v>
      </c>
      <c r="H533" s="740">
        <f>'Аксессуары (2)'!H533*1.8*($K$2/100+1)</f>
        <v>970.63757999999984</v>
      </c>
      <c r="I533" s="740">
        <f>'Аксессуары (2)'!J533*1.5*($K$2/100+1)</f>
        <v>1213.2969749999997</v>
      </c>
      <c r="J533" s="741">
        <f>'Аксессуары (2)'!J533*1.8*($K$2/100+1)</f>
        <v>1455.9563699999999</v>
      </c>
    </row>
    <row r="534" spans="1:10" ht="14.95" customHeight="1">
      <c r="A534" s="424" t="s">
        <v>450</v>
      </c>
      <c r="B534" s="737">
        <f>'Аксессуары (2)'!B534*1.3*($K$2/100+1)</f>
        <v>335.30854499999998</v>
      </c>
      <c r="C534" s="737">
        <f>'Аксессуары (2)'!C534*1.3*($K$2/100+1)</f>
        <v>372.56504999999999</v>
      </c>
      <c r="D534" s="737">
        <f>'Аксессуары (2)'!D534*1.3*($K$2/100+1)</f>
        <v>409.82155500000005</v>
      </c>
      <c r="E534" s="737">
        <f>'Аксессуары (2)'!E534*1.6*($K$2/100+1)</f>
        <v>550.24991999999997</v>
      </c>
      <c r="F534" s="737">
        <f>'Аксессуары (2)'!F534*1.6*($K$2/100+1)</f>
        <v>605.27491200000009</v>
      </c>
      <c r="G534" s="737">
        <f>'Аксессуары (2)'!G534*1.6*($K$2/100+1)</f>
        <v>660.29990399999997</v>
      </c>
      <c r="H534" s="740">
        <f>'Аксессуары (2)'!H534*1.8*($K$2/100+1)</f>
        <v>1031.7185999999999</v>
      </c>
      <c r="I534" s="740">
        <f>'Аксессуары (2)'!J534*1.5*($K$2/100+1)</f>
        <v>1289.6482499999997</v>
      </c>
      <c r="J534" s="741">
        <f>'Аксессуары (2)'!J534*1.8*($K$2/100+1)</f>
        <v>1547.5778999999998</v>
      </c>
    </row>
    <row r="535" spans="1:10" ht="14.95" customHeight="1">
      <c r="A535" s="424" t="s">
        <v>451</v>
      </c>
      <c r="B535" s="737">
        <f>'Аксессуары (2)'!B535*1.3*($K$2/100+1)</f>
        <v>334.07881650000002</v>
      </c>
      <c r="C535" s="737">
        <f>'Аксессуары (2)'!C535*1.3*($K$2/100+1)</f>
        <v>371.19868499999995</v>
      </c>
      <c r="D535" s="737">
        <f>'Аксессуары (2)'!D535*1.3*($K$2/100+1)</f>
        <v>408.31855350000001</v>
      </c>
      <c r="E535" s="737">
        <f>'Аксессуары (2)'!E535*1.6*($K$2/100+1)</f>
        <v>548.23190399999999</v>
      </c>
      <c r="F535" s="737">
        <f>'Аксессуары (2)'!F535*1.6*($K$2/100+1)</f>
        <v>603.05509440000003</v>
      </c>
      <c r="G535" s="737">
        <f>'Аксессуары (2)'!G535*1.6*($K$2/100+1)</f>
        <v>657.87828479999996</v>
      </c>
      <c r="H535" s="740">
        <f>'Аксессуары (2)'!H535*1.8*($K$2/100+1)</f>
        <v>1027.9348199999999</v>
      </c>
      <c r="I535" s="740">
        <f>'Аксессуары (2)'!J535*1.5*($K$2/100+1)</f>
        <v>1284.9185249999998</v>
      </c>
      <c r="J535" s="741">
        <f>'Аксессуары (2)'!J535*1.8*($K$2/100+1)</f>
        <v>1541.9022299999999</v>
      </c>
    </row>
    <row r="536" spans="1:10" ht="14.95" customHeight="1">
      <c r="A536" s="424" t="s">
        <v>452</v>
      </c>
      <c r="B536" s="737">
        <f>'Аксессуары (2)'!B536*1.3*($K$2/100+1)</f>
        <v>342.33556499999992</v>
      </c>
      <c r="C536" s="737">
        <f>'Аксессуары (2)'!C536*1.3*($K$2/100+1)</f>
        <v>380.37284999999997</v>
      </c>
      <c r="D536" s="737">
        <f>'Аксессуары (2)'!D536*1.3*($K$2/100+1)</f>
        <v>418.41013499999997</v>
      </c>
      <c r="E536" s="737">
        <f>'Аксессуары (2)'!E536*1.6*($K$2/100+1)</f>
        <v>561.78143999999998</v>
      </c>
      <c r="F536" s="737">
        <f>'Аксессуары (2)'!F536*1.6*($K$2/100+1)</f>
        <v>617.95958399999995</v>
      </c>
      <c r="G536" s="737">
        <f>'Аксессуары (2)'!G536*1.6*($K$2/100+1)</f>
        <v>674.13772799999981</v>
      </c>
      <c r="H536" s="740">
        <f>'Аксессуары (2)'!H536*1.8*($K$2/100+1)</f>
        <v>1053.3401999999999</v>
      </c>
      <c r="I536" s="740">
        <f>'Аксессуары (2)'!J536*1.5*($K$2/100+1)</f>
        <v>1316.67525</v>
      </c>
      <c r="J536" s="741">
        <f>'Аксессуары (2)'!J536*1.8*($K$2/100+1)</f>
        <v>1580.0102999999999</v>
      </c>
    </row>
    <row r="537" spans="1:10" ht="14.95" customHeight="1">
      <c r="A537" s="424" t="s">
        <v>453</v>
      </c>
      <c r="B537" s="737">
        <f>'Аксессуары (2)'!B537*1.3*($K$2/100+1)</f>
        <v>354.63284999999996</v>
      </c>
      <c r="C537" s="737">
        <f>'Аксессуары (2)'!C537*1.3*($K$2/100+1)</f>
        <v>394.03649999999999</v>
      </c>
      <c r="D537" s="737">
        <f>'Аксессуары (2)'!D537*1.3*($K$2/100+1)</f>
        <v>433.44014999999996</v>
      </c>
      <c r="E537" s="737">
        <f>'Аксессуары (2)'!E537*1.6*($K$2/100+1)</f>
        <v>581.96159999999986</v>
      </c>
      <c r="F537" s="737">
        <f>'Аксессуары (2)'!F537*1.6*($K$2/100+1)</f>
        <v>640.15775999999994</v>
      </c>
      <c r="G537" s="737">
        <f>'Аксессуары (2)'!G537*1.6*($K$2/100+1)</f>
        <v>698.3539199999999</v>
      </c>
      <c r="H537" s="740">
        <f>'Аксессуары (2)'!H537*1.8*($K$2/100+1)</f>
        <v>1091.1779999999999</v>
      </c>
      <c r="I537" s="740">
        <f>'Аксессуары (2)'!J537*1.5*($K$2/100+1)</f>
        <v>1363.9724999999996</v>
      </c>
      <c r="J537" s="741">
        <f>'Аксессуары (2)'!J537*1.8*($K$2/100+1)</f>
        <v>1636.7669999999998</v>
      </c>
    </row>
    <row r="538" spans="1:10" ht="14.95" customHeight="1">
      <c r="A538" s="424" t="s">
        <v>454</v>
      </c>
      <c r="B538" s="737">
        <f>'Аксессуары (2)'!B538*1.3*($K$2/100+1)</f>
        <v>363.41662500000001</v>
      </c>
      <c r="C538" s="737">
        <f>'Аксессуары (2)'!C538*1.3*($K$2/100+1)</f>
        <v>403.79624999999999</v>
      </c>
      <c r="D538" s="737">
        <f>'Аксессуары (2)'!D538*1.3*($K$2/100+1)</f>
        <v>444.17587500000008</v>
      </c>
      <c r="E538" s="737">
        <f>'Аксессуары (2)'!E538*1.6*($K$2/100+1)</f>
        <v>596.37600000000009</v>
      </c>
      <c r="F538" s="737">
        <f>'Аксессуары (2)'!F538*1.6*($K$2/100+1)</f>
        <v>656.01360000000011</v>
      </c>
      <c r="G538" s="737">
        <f>'Аксессуары (2)'!G538*1.6*($K$2/100+1)</f>
        <v>715.65120000000002</v>
      </c>
      <c r="H538" s="740">
        <f>'Аксессуары (2)'!H538*1.8*($K$2/100+1)</f>
        <v>1118.2049999999999</v>
      </c>
      <c r="I538" s="740">
        <f>'Аксессуары (2)'!J538*1.5*($K$2/100+1)</f>
        <v>1397.7562499999999</v>
      </c>
      <c r="J538" s="741">
        <f>'Аксессуары (2)'!J538*1.8*($K$2/100+1)</f>
        <v>1677.3075000000001</v>
      </c>
    </row>
    <row r="539" spans="1:10" ht="14.95" customHeight="1">
      <c r="A539" s="424" t="s">
        <v>455</v>
      </c>
      <c r="B539" s="737">
        <f>'Аксессуары (2)'!B539*1.3*($K$2/100+1)</f>
        <v>372.2004</v>
      </c>
      <c r="C539" s="737">
        <f>'Аксессуары (2)'!C539*1.3*($K$2/100+1)</f>
        <v>413.55599999999998</v>
      </c>
      <c r="D539" s="737">
        <f>'Аксессуары (2)'!D539*1.3*($K$2/100+1)</f>
        <v>454.91160000000008</v>
      </c>
      <c r="E539" s="737">
        <f>'Аксессуары (2)'!E539*1.6*($K$2/100+1)</f>
        <v>610.79040000000009</v>
      </c>
      <c r="F539" s="737">
        <f>'Аксессуары (2)'!F539*1.6*($K$2/100+1)</f>
        <v>671.86944000000005</v>
      </c>
      <c r="G539" s="737">
        <f>'Аксессуары (2)'!G539*1.6*($K$2/100+1)</f>
        <v>732.94848000000002</v>
      </c>
      <c r="H539" s="740">
        <f>'Аксессуары (2)'!H539*1.8*($K$2/100+1)</f>
        <v>1145.232</v>
      </c>
      <c r="I539" s="740">
        <f>'Аксессуары (2)'!J539*1.5*($K$2/100+1)</f>
        <v>1431.5400000000002</v>
      </c>
      <c r="J539" s="741">
        <f>'Аксессуары (2)'!J539*1.8*($K$2/100+1)</f>
        <v>1717.8480000000002</v>
      </c>
    </row>
    <row r="540" spans="1:10" ht="14.95" customHeight="1">
      <c r="A540" s="424" t="s">
        <v>456</v>
      </c>
      <c r="B540" s="737">
        <f>'Аксессуары (2)'!B540*1.3*($K$2/100+1)</f>
        <v>380.98417499999999</v>
      </c>
      <c r="C540" s="737">
        <f>'Аксессуары (2)'!C540*1.3*($K$2/100+1)</f>
        <v>423.31574999999998</v>
      </c>
      <c r="D540" s="737">
        <f>'Аксессуары (2)'!D540*1.3*($K$2/100+1)</f>
        <v>465.64732500000002</v>
      </c>
      <c r="E540" s="737">
        <f>'Аксессуары (2)'!E540*1.6*($K$2/100+1)</f>
        <v>625.20479999999998</v>
      </c>
      <c r="F540" s="737">
        <f>'Аксессуары (2)'!F540*1.6*($K$2/100+1)</f>
        <v>687.72528000000011</v>
      </c>
      <c r="G540" s="737">
        <f>'Аксессуары (2)'!G540*1.6*($K$2/100+1)</f>
        <v>750.2457599999999</v>
      </c>
      <c r="H540" s="740">
        <f>'Аксессуары (2)'!H540*1.8*($K$2/100+1)</f>
        <v>1172.259</v>
      </c>
      <c r="I540" s="740">
        <f>'Аксессуары (2)'!J540*1.5*($K$2/100+1)</f>
        <v>1465.3237499999998</v>
      </c>
      <c r="J540" s="741">
        <f>'Аксессуары (2)'!J540*1.8*($K$2/100+1)</f>
        <v>1758.3885</v>
      </c>
    </row>
    <row r="541" spans="1:10" ht="14.95" customHeight="1">
      <c r="A541" s="424" t="s">
        <v>457</v>
      </c>
      <c r="B541" s="737">
        <f>'Аксессуары (2)'!B541*1.3*($K$2/100+1)</f>
        <v>299.82209399999999</v>
      </c>
      <c r="C541" s="737">
        <f>'Аксессуары (2)'!C541*1.3*($K$2/100+1)</f>
        <v>333.13565999999997</v>
      </c>
      <c r="D541" s="737">
        <f>'Аксессуары (2)'!D541*1.3*($K$2/100+1)</f>
        <v>366.44922600000001</v>
      </c>
      <c r="E541" s="737">
        <f>'Аксессуары (2)'!E541*1.6*($K$2/100+1)</f>
        <v>492.01574399999993</v>
      </c>
      <c r="F541" s="737">
        <f>'Аксессуары (2)'!F541*1.6*($K$2/100+1)</f>
        <v>541.21731839999995</v>
      </c>
      <c r="G541" s="737">
        <f>'Аксессуары (2)'!G541*1.6*($K$2/100+1)</f>
        <v>590.41889279999998</v>
      </c>
      <c r="H541" s="740">
        <f>'Аксессуары (2)'!H541*1.8*($K$2/100+1)</f>
        <v>922.52951999999993</v>
      </c>
      <c r="I541" s="740">
        <f>'Аксессуары (2)'!J541*1.5*($K$2/100+1)</f>
        <v>1153.1618999999998</v>
      </c>
      <c r="J541" s="741">
        <f>'Аксессуары (2)'!J541*1.8*($K$2/100+1)</f>
        <v>1383.7942799999998</v>
      </c>
    </row>
    <row r="542" spans="1:10" ht="14.95" customHeight="1">
      <c r="A542" s="424" t="s">
        <v>458</v>
      </c>
      <c r="B542" s="737">
        <f>'Аксессуары (2)'!B542*1.3*($K$2/100+1)</f>
        <v>306.49776300000002</v>
      </c>
      <c r="C542" s="737">
        <f>'Аксессуары (2)'!C542*1.3*($K$2/100+1)</f>
        <v>340.55306999999999</v>
      </c>
      <c r="D542" s="737">
        <f>'Аксессуары (2)'!D542*1.3*($K$2/100+1)</f>
        <v>374.60837700000002</v>
      </c>
      <c r="E542" s="737">
        <f>'Аксессуары (2)'!E542*1.6*($K$2/100+1)</f>
        <v>502.97068799999994</v>
      </c>
      <c r="F542" s="737">
        <f>'Аксессуары (2)'!F542*1.6*($K$2/100+1)</f>
        <v>553.26775680000003</v>
      </c>
      <c r="G542" s="737">
        <f>'Аксессуары (2)'!G542*1.6*($K$2/100+1)</f>
        <v>603.56482559999995</v>
      </c>
      <c r="H542" s="740">
        <f>'Аксессуары (2)'!H542*1.8*($K$2/100+1)</f>
        <v>943.07003999999995</v>
      </c>
      <c r="I542" s="740">
        <f>'Аксессуары (2)'!J542*1.5*($K$2/100+1)</f>
        <v>1178.83755</v>
      </c>
      <c r="J542" s="741">
        <f>'Аксессуары (2)'!J542*1.8*($K$2/100+1)</f>
        <v>1414.6050599999999</v>
      </c>
    </row>
    <row r="543" spans="1:10" ht="14.95" customHeight="1">
      <c r="A543" s="424" t="s">
        <v>459</v>
      </c>
      <c r="B543" s="737">
        <f>'Аксессуары (2)'!B543*1.3*($K$2/100+1)</f>
        <v>316.33559099999997</v>
      </c>
      <c r="C543" s="737">
        <f>'Аксессуары (2)'!C543*1.3*($K$2/100+1)</f>
        <v>351.48399000000001</v>
      </c>
      <c r="D543" s="737">
        <f>'Аксессуары (2)'!D543*1.3*($K$2/100+1)</f>
        <v>386.63238899999999</v>
      </c>
      <c r="E543" s="737">
        <f>'Аксессуары (2)'!E543*1.6*($K$2/100+1)</f>
        <v>519.11481600000002</v>
      </c>
      <c r="F543" s="737">
        <f>'Аксессуары (2)'!F543*1.6*($K$2/100+1)</f>
        <v>571.02629760000002</v>
      </c>
      <c r="G543" s="737">
        <f>'Аксессуары (2)'!G543*1.6*($K$2/100+1)</f>
        <v>622.93777920000002</v>
      </c>
      <c r="H543" s="740">
        <f>'Аксессуары (2)'!H543*1.8*($K$2/100+1)</f>
        <v>973.34027999999989</v>
      </c>
      <c r="I543" s="740">
        <f>'Аксессуары (2)'!J543*1.5*($K$2/100+1)</f>
        <v>1216.67535</v>
      </c>
      <c r="J543" s="741">
        <f>'Аксессуары (2)'!J543*1.8*($K$2/100+1)</f>
        <v>1460.0104200000001</v>
      </c>
    </row>
    <row r="544" spans="1:10" ht="14.95" customHeight="1">
      <c r="A544" s="424" t="s">
        <v>460</v>
      </c>
      <c r="B544" s="737">
        <f>'Аксессуары (2)'!B544*1.3*($K$2/100+1)</f>
        <v>327.75449849999995</v>
      </c>
      <c r="C544" s="737">
        <f>'Аксессуары (2)'!C544*1.3*($K$2/100+1)</f>
        <v>364.17166499999996</v>
      </c>
      <c r="D544" s="737">
        <f>'Аксессуары (2)'!D544*1.3*($K$2/100+1)</f>
        <v>400.58883150000003</v>
      </c>
      <c r="E544" s="737">
        <f>'Аксессуары (2)'!E544*1.6*($K$2/100+1)</f>
        <v>537.85353599999996</v>
      </c>
      <c r="F544" s="737">
        <f>'Аксессуары (2)'!F544*1.6*($K$2/100+1)</f>
        <v>591.63888960000008</v>
      </c>
      <c r="G544" s="737">
        <f>'Аксессуары (2)'!G544*1.6*($K$2/100+1)</f>
        <v>645.42424319999998</v>
      </c>
      <c r="H544" s="740">
        <f>'Аксессуары (2)'!H544*1.8*($K$2/100+1)</f>
        <v>1008.4753799999999</v>
      </c>
      <c r="I544" s="740">
        <f>'Аксессуары (2)'!J544*1.5*($K$2/100+1)</f>
        <v>1260.5942249999998</v>
      </c>
      <c r="J544" s="741">
        <f>'Аксессуары (2)'!J544*1.8*($K$2/100+1)</f>
        <v>1512.7130699999998</v>
      </c>
    </row>
    <row r="545" spans="1:10" ht="14.95" customHeight="1">
      <c r="A545" s="424" t="s">
        <v>461</v>
      </c>
      <c r="B545" s="737">
        <f>'Аксессуары (2)'!B545*1.3*($K$2/100+1)</f>
        <v>337.06529999999998</v>
      </c>
      <c r="C545" s="737">
        <f>'Аксессуары (2)'!C545*1.3*($K$2/100+1)</f>
        <v>374.51699999999994</v>
      </c>
      <c r="D545" s="737">
        <f>'Аксессуары (2)'!D545*1.3*($K$2/100+1)</f>
        <v>411.96869999999996</v>
      </c>
      <c r="E545" s="737">
        <f>'Аксессуары (2)'!E545*1.6*($K$2/100+1)</f>
        <v>553.13279999999997</v>
      </c>
      <c r="F545" s="737">
        <f>'Аксессуары (2)'!F545*1.6*($K$2/100+1)</f>
        <v>608.44607999999994</v>
      </c>
      <c r="G545" s="737">
        <f>'Аксессуары (2)'!G545*1.6*($K$2/100+1)</f>
        <v>663.7593599999999</v>
      </c>
      <c r="H545" s="740">
        <f>'Аксессуары (2)'!H545*1.8*($K$2/100+1)</f>
        <v>1037.1239999999998</v>
      </c>
      <c r="I545" s="740">
        <f>'Аксессуары (2)'!J545*1.5*($K$2/100+1)</f>
        <v>1296.4049999999997</v>
      </c>
      <c r="J545" s="741">
        <f>'Аксессуары (2)'!J545*1.8*($K$2/100+1)</f>
        <v>1555.6859999999997</v>
      </c>
    </row>
    <row r="546" spans="1:10" ht="14.95" customHeight="1">
      <c r="A546" s="424" t="s">
        <v>462</v>
      </c>
      <c r="B546" s="737">
        <f>'Аксессуары (2)'!B546*1.3*($K$2/100+1)</f>
        <v>325.99774349999996</v>
      </c>
      <c r="C546" s="737">
        <f>'Аксессуары (2)'!C546*1.3*($K$2/100+1)</f>
        <v>362.21971499999995</v>
      </c>
      <c r="D546" s="737">
        <f>'Аксессуары (2)'!D546*1.3*($K$2/100+1)</f>
        <v>398.4416865</v>
      </c>
      <c r="E546" s="737">
        <f>'Аксессуары (2)'!E546*1.6*($K$2/100+1)</f>
        <v>534.97065599999996</v>
      </c>
      <c r="F546" s="737">
        <f>'Аксессуары (2)'!F546*1.6*($K$2/100+1)</f>
        <v>588.4677216</v>
      </c>
      <c r="G546" s="737">
        <f>'Аксессуары (2)'!G546*1.6*($K$2/100+1)</f>
        <v>641.96478719999993</v>
      </c>
      <c r="H546" s="740">
        <f>'Аксессуары (2)'!H546*1.8*($K$2/100+1)</f>
        <v>1003.06998</v>
      </c>
      <c r="I546" s="740">
        <f>'Аксессуары (2)'!J546*1.5*($K$2/100+1)</f>
        <v>1253.8374749999998</v>
      </c>
      <c r="J546" s="741">
        <f>'Аксессуары (2)'!J546*1.8*($K$2/100+1)</f>
        <v>1504.6049699999999</v>
      </c>
    </row>
    <row r="547" spans="1:10" ht="14.95" customHeight="1">
      <c r="A547" s="424" t="s">
        <v>463</v>
      </c>
      <c r="B547" s="737">
        <f>'Аксессуары (2)'!B547*1.3*($K$2/100+1)</f>
        <v>350.59231349999999</v>
      </c>
      <c r="C547" s="737">
        <f>'Аксессуары (2)'!C547*1.3*($K$2/100+1)</f>
        <v>389.54701499999999</v>
      </c>
      <c r="D547" s="737">
        <f>'Аксессуары (2)'!D547*1.3*($K$2/100+1)</f>
        <v>428.50171649999999</v>
      </c>
      <c r="E547" s="737">
        <f>'Аксессуары (2)'!E547*1.6*($K$2/100+1)</f>
        <v>575.33097599999996</v>
      </c>
      <c r="F547" s="737">
        <f>'Аксессуары (2)'!F547*1.6*($K$2/100+1)</f>
        <v>632.8640736000001</v>
      </c>
      <c r="G547" s="737">
        <f>'Аксессуары (2)'!G547*1.6*($K$2/100+1)</f>
        <v>690.3971712</v>
      </c>
      <c r="H547" s="740">
        <f>'Аксессуары (2)'!H547*1.8*($K$2/100+1)</f>
        <v>1078.74558</v>
      </c>
      <c r="I547" s="740">
        <f>'Аксессуары (2)'!J547*1.5*($K$2/100+1)</f>
        <v>1348.4319750000002</v>
      </c>
      <c r="J547" s="741">
        <f>'Аксессуары (2)'!J547*1.8*($K$2/100+1)</f>
        <v>1618.1183699999999</v>
      </c>
    </row>
    <row r="548" spans="1:10" ht="14.95" customHeight="1">
      <c r="A548" s="424" t="s">
        <v>464</v>
      </c>
      <c r="B548" s="737">
        <f>'Аксессуары (2)'!B548*1.3*($K$2/100+1)</f>
        <v>345.49772400000006</v>
      </c>
      <c r="C548" s="737">
        <f>'Аксессуары (2)'!C548*1.3*($K$2/100+1)</f>
        <v>383.88636000000002</v>
      </c>
      <c r="D548" s="737">
        <f>'Аксессуары (2)'!D548*1.3*($K$2/100+1)</f>
        <v>422.27499600000004</v>
      </c>
      <c r="E548" s="737">
        <f>'Аксессуары (2)'!E548*1.6*($K$2/100+1)</f>
        <v>566.97062400000004</v>
      </c>
      <c r="F548" s="737">
        <f>'Аксессуары (2)'!F548*1.6*($K$2/100+1)</f>
        <v>623.66768640000009</v>
      </c>
      <c r="G548" s="737">
        <f>'Аксессуары (2)'!G548*1.6*($K$2/100+1)</f>
        <v>680.36474880000014</v>
      </c>
      <c r="H548" s="740">
        <f>'Аксессуары (2)'!H548*1.8*($K$2/100+1)</f>
        <v>1063.0699200000001</v>
      </c>
      <c r="I548" s="740">
        <f>'Аксессуары (2)'!J548*1.5*($K$2/100+1)</f>
        <v>1328.8373999999999</v>
      </c>
      <c r="J548" s="741">
        <f>'Аксессуары (2)'!J548*1.8*($K$2/100+1)</f>
        <v>1594.6048799999999</v>
      </c>
    </row>
    <row r="549" spans="1:10" ht="14.95" customHeight="1">
      <c r="A549" s="424" t="s">
        <v>465</v>
      </c>
      <c r="B549" s="737">
        <f>'Аксессуары (2)'!B549*1.3*($K$2/100+1)</f>
        <v>367.28148600000003</v>
      </c>
      <c r="C549" s="737">
        <f>'Аксессуары (2)'!C549*1.3*($K$2/100+1)</f>
        <v>408.09054000000003</v>
      </c>
      <c r="D549" s="737">
        <f>'Аксессуары (2)'!D549*1.3*($K$2/100+1)</f>
        <v>448.89959400000009</v>
      </c>
      <c r="E549" s="737">
        <f>'Аксессуары (2)'!E549*1.6*($K$2/100+1)</f>
        <v>602.71833600000002</v>
      </c>
      <c r="F549" s="737">
        <f>'Аксессуары (2)'!F549*1.6*($K$2/100+1)</f>
        <v>662.99016959999994</v>
      </c>
      <c r="G549" s="737">
        <f>'Аксессуары (2)'!G549*1.6*($K$2/100+1)</f>
        <v>723.26200319999987</v>
      </c>
      <c r="H549" s="740">
        <f>'Аксессуары (2)'!H549*1.8*($K$2/100+1)</f>
        <v>1130.0968800000001</v>
      </c>
      <c r="I549" s="740">
        <f>'Аксессуары (2)'!J549*1.5*($K$2/100+1)</f>
        <v>1412.6211000000001</v>
      </c>
      <c r="J549" s="741">
        <f>'Аксессуары (2)'!J549*1.8*($K$2/100+1)</f>
        <v>1695.1453200000001</v>
      </c>
    </row>
    <row r="550" spans="1:10" ht="14.95" customHeight="1">
      <c r="A550" s="424" t="s">
        <v>466</v>
      </c>
      <c r="B550" s="737">
        <f>'Аксессуары (2)'!B550*1.3*($K$2/100+1)</f>
        <v>368.33553899999998</v>
      </c>
      <c r="C550" s="737">
        <f>'Аксессуары (2)'!C550*1.3*($K$2/100+1)</f>
        <v>409.26170999999999</v>
      </c>
      <c r="D550" s="737">
        <f>'Аксессуары (2)'!D550*1.3*($K$2/100+1)</f>
        <v>450.18788099999995</v>
      </c>
      <c r="E550" s="737">
        <f>'Аксессуары (2)'!E550*1.6*($K$2/100+1)</f>
        <v>604.44806399999993</v>
      </c>
      <c r="F550" s="737">
        <f>'Аксессуары (2)'!F550*1.6*($K$2/100+1)</f>
        <v>664.89287039999999</v>
      </c>
      <c r="G550" s="737">
        <f>'Аксессуары (2)'!G550*1.6*($K$2/100+1)</f>
        <v>725.33767679999983</v>
      </c>
      <c r="H550" s="740">
        <f>'Аксессуары (2)'!H550*1.8*($K$2/100+1)</f>
        <v>1133.3401199999998</v>
      </c>
      <c r="I550" s="740">
        <f>'Аксессуары (2)'!J550*1.5*($K$2/100+1)</f>
        <v>1416.67515</v>
      </c>
      <c r="J550" s="741">
        <f>'Аксессуары (2)'!J550*1.8*($K$2/100+1)</f>
        <v>1700.0101800000002</v>
      </c>
    </row>
    <row r="551" spans="1:10" ht="14.95" customHeight="1" thickBot="1">
      <c r="A551" s="425" t="s">
        <v>467</v>
      </c>
      <c r="B551" s="737">
        <f>'Аксессуары (2)'!B551*1.3*($K$2/100+1)</f>
        <v>364.9977045</v>
      </c>
      <c r="C551" s="737">
        <f>'Аксессуары (2)'!C551*1.3*($K$2/100+1)</f>
        <v>405.55300500000004</v>
      </c>
      <c r="D551" s="737">
        <f>'Аксессуары (2)'!D551*1.3*($K$2/100+1)</f>
        <v>446.10830550000009</v>
      </c>
      <c r="E551" s="737">
        <f>'Аксессуары (2)'!E551*1.6*($K$2/100+1)</f>
        <v>598.97059200000001</v>
      </c>
      <c r="F551" s="737">
        <f>'Аксессуары (2)'!F551*1.6*($K$2/100+1)</f>
        <v>658.86765120000007</v>
      </c>
      <c r="G551" s="737">
        <f>'Аксессуары (2)'!G551*1.6*($K$2/100+1)</f>
        <v>718.76471040000013</v>
      </c>
      <c r="H551" s="742">
        <f>'Аксессуары (2)'!H551*1.8*($K$2/100+1)</f>
        <v>1123.0698600000001</v>
      </c>
      <c r="I551" s="742">
        <f>'Аксессуары (2)'!J551*1.5*($K$2/100+1)</f>
        <v>1403.8373250000002</v>
      </c>
      <c r="J551" s="743">
        <f>'Аксессуары (2)'!J551*1.8*($K$2/100+1)</f>
        <v>1684.6047900000001</v>
      </c>
    </row>
    <row r="552" spans="1:10" s="254" customFormat="1" ht="14.95" customHeight="1" thickBot="1">
      <c r="A552" s="615" t="s">
        <v>2161</v>
      </c>
      <c r="B552" s="842"/>
      <c r="C552" s="843"/>
      <c r="D552" s="843"/>
      <c r="E552" s="843"/>
      <c r="F552" s="843"/>
      <c r="G552" s="843"/>
      <c r="H552" s="843"/>
      <c r="I552" s="843"/>
      <c r="J552" s="844"/>
    </row>
    <row r="553" spans="1:10" ht="14.95" customHeight="1">
      <c r="A553" s="413" t="s">
        <v>468</v>
      </c>
      <c r="B553" s="737">
        <f>'Аксессуары (2)'!B553*1.3*($K$2/100+1)</f>
        <v>81.621539999999996</v>
      </c>
      <c r="C553" s="737">
        <f>'Аксессуары (2)'!C553*1.3*($K$2/100+1)</f>
        <v>90.690600000000003</v>
      </c>
      <c r="D553" s="737">
        <f>'Аксессуары (2)'!D553*1.3*($K$2/100+1)</f>
        <v>99.759660000000011</v>
      </c>
      <c r="E553" s="737">
        <f>'Аксессуары (2)'!E553*1.6*($K$2/100+1)</f>
        <v>133.94304</v>
      </c>
      <c r="F553" s="737">
        <f>'Аксессуары (2)'!F553*1.6*($K$2/100+1)</f>
        <v>147.33734400000003</v>
      </c>
      <c r="G553" s="737">
        <f>'Аксессуары (2)'!G553*1.6*($K$2/100+1)</f>
        <v>160.73164799999998</v>
      </c>
      <c r="H553" s="738">
        <f>'Аксессуары (2)'!H553*1.8*($K$2/100+1)</f>
        <v>251.14319999999998</v>
      </c>
      <c r="I553" s="738">
        <f>'Аксессуары (2)'!J553*1.48*($K$2/100+1)</f>
        <v>309.74327999999997</v>
      </c>
      <c r="J553" s="739">
        <f>'Аксессуары (2)'!J553*1.8*($K$2/100+1)</f>
        <v>376.71480000000003</v>
      </c>
    </row>
    <row r="554" spans="1:10" ht="14.95" customHeight="1">
      <c r="A554" s="424" t="s">
        <v>469</v>
      </c>
      <c r="B554" s="737">
        <f>'Аксессуары (2)'!B554*1.3*($K$2/100+1)</f>
        <v>83.378295000000008</v>
      </c>
      <c r="C554" s="737">
        <f>'Аксессуары (2)'!C554*1.3*($K$2/100+1)</f>
        <v>92.642549999999986</v>
      </c>
      <c r="D554" s="737">
        <f>'Аксессуары (2)'!D554*1.3*($K$2/100+1)</f>
        <v>101.90680500000001</v>
      </c>
      <c r="E554" s="737">
        <f>'Аксессуары (2)'!E554*1.6*($K$2/100+1)</f>
        <v>136.82592</v>
      </c>
      <c r="F554" s="737">
        <f>'Аксессуары (2)'!F554*1.6*($K$2/100+1)</f>
        <v>150.508512</v>
      </c>
      <c r="G554" s="737">
        <f>'Аксессуары (2)'!G554*1.6*($K$2/100+1)</f>
        <v>164.19110399999997</v>
      </c>
      <c r="H554" s="740">
        <f>'Аксессуары (2)'!H554*1.8*($K$2/100+1)</f>
        <v>256.54860000000002</v>
      </c>
      <c r="I554" s="740">
        <f>'Аксессуары (2)'!J554*1.48*($K$2/100+1)</f>
        <v>316.40994000000001</v>
      </c>
      <c r="J554" s="741">
        <f>'Аксессуары (2)'!J554*1.8*($K$2/100+1)</f>
        <v>384.8229</v>
      </c>
    </row>
    <row r="555" spans="1:10" ht="14.95" customHeight="1">
      <c r="A555" s="424" t="s">
        <v>470</v>
      </c>
      <c r="B555" s="737">
        <f>'Аксессуары (2)'!B555*1.3*($K$2/100+1)</f>
        <v>88.121533499999998</v>
      </c>
      <c r="C555" s="737">
        <f>'Аксессуары (2)'!C555*1.3*($K$2/100+1)</f>
        <v>97.912814999999995</v>
      </c>
      <c r="D555" s="737">
        <f>'Аксессуары (2)'!D555*1.3*($K$2/100+1)</f>
        <v>107.70409649999999</v>
      </c>
      <c r="E555" s="737">
        <f>'Аксессуары (2)'!E555*1.6*($K$2/100+1)</f>
        <v>144.60969599999999</v>
      </c>
      <c r="F555" s="737">
        <f>'Аксессуары (2)'!F555*1.6*($K$2/100+1)</f>
        <v>159.07066559999998</v>
      </c>
      <c r="G555" s="737">
        <f>'Аксессуары (2)'!G555*1.6*($K$2/100+1)</f>
        <v>173.53163519999998</v>
      </c>
      <c r="H555" s="740">
        <f>'Аксессуары (2)'!H555*1.8*($K$2/100+1)</f>
        <v>271.14317999999997</v>
      </c>
      <c r="I555" s="740">
        <f>'Аксессуары (2)'!J555*1.48*($K$2/100+1)</f>
        <v>334.40992199999999</v>
      </c>
      <c r="J555" s="741">
        <f>'Аксессуары (2)'!J555*1.8*($K$2/100+1)</f>
        <v>406.71476999999999</v>
      </c>
    </row>
    <row r="556" spans="1:10" ht="14.95" customHeight="1">
      <c r="A556" s="424" t="s">
        <v>471</v>
      </c>
      <c r="B556" s="737">
        <f>'Аксессуары (2)'!B556*1.3*($K$2/100+1)</f>
        <v>111.48637500000001</v>
      </c>
      <c r="C556" s="737">
        <f>'Аксессуары (2)'!C556*1.3*($K$2/100+1)</f>
        <v>123.87375</v>
      </c>
      <c r="D556" s="737">
        <f>'Аксессуары (2)'!D556*1.3*($K$2/100+1)</f>
        <v>136.26112500000002</v>
      </c>
      <c r="E556" s="737">
        <f>'Аксессуары (2)'!E556*1.6*($K$2/100+1)</f>
        <v>182.95199999999997</v>
      </c>
      <c r="F556" s="737">
        <f>'Аксессуары (2)'!F556*1.6*($K$2/100+1)</f>
        <v>201.24720000000002</v>
      </c>
      <c r="G556" s="737">
        <f>'Аксессуары (2)'!G556*1.6*($K$2/100+1)</f>
        <v>219.54240000000001</v>
      </c>
      <c r="H556" s="740">
        <f>'Аксессуары (2)'!H556*1.8*($K$2/100+1)</f>
        <v>343.03499999999997</v>
      </c>
      <c r="I556" s="740">
        <f>'Аксессуары (2)'!J556*1.48*($K$2/100+1)</f>
        <v>423.07650000000001</v>
      </c>
      <c r="J556" s="741">
        <f>'Аксессуары (2)'!J556*1.8*($K$2/100+1)</f>
        <v>514.55250000000001</v>
      </c>
    </row>
    <row r="557" spans="1:10" ht="14.95" customHeight="1">
      <c r="A557" s="424" t="s">
        <v>472</v>
      </c>
      <c r="B557" s="737">
        <f>'Аксессуары (2)'!B557*1.3*($K$2/100+1)</f>
        <v>122.72960699999999</v>
      </c>
      <c r="C557" s="737">
        <f>'Аксессуары (2)'!C557*1.3*($K$2/100+1)</f>
        <v>136.36622999999997</v>
      </c>
      <c r="D557" s="737">
        <f>'Аксессуары (2)'!D557*1.3*($K$2/100+1)</f>
        <v>150.00285299999999</v>
      </c>
      <c r="E557" s="737">
        <f>'Аксессуары (2)'!E557*1.6*($K$2/100+1)</f>
        <v>201.40243199999998</v>
      </c>
      <c r="F557" s="737">
        <f>'Аксессуары (2)'!F557*1.6*($K$2/100+1)</f>
        <v>221.54267519999996</v>
      </c>
      <c r="G557" s="737">
        <f>'Аксессуары (2)'!G557*1.6*($K$2/100+1)</f>
        <v>241.68291839999998</v>
      </c>
      <c r="H557" s="740">
        <f>'Аксессуары (2)'!H557*1.8*($K$2/100+1)</f>
        <v>377.62955999999997</v>
      </c>
      <c r="I557" s="740">
        <f>'Аксессуары (2)'!J557*1.48*($K$2/100+1)</f>
        <v>465.74312399999997</v>
      </c>
      <c r="J557" s="741">
        <f>'Аксессуары (2)'!J557*1.8*($K$2/100+1)</f>
        <v>566.44434000000001</v>
      </c>
    </row>
    <row r="558" spans="1:10" ht="14.95" customHeight="1">
      <c r="A558" s="424" t="s">
        <v>473</v>
      </c>
      <c r="B558" s="737">
        <f>'Аксессуары (2)'!B558*1.3*($K$2/100+1)</f>
        <v>129.05392499999999</v>
      </c>
      <c r="C558" s="737">
        <f>'Аксессуары (2)'!C558*1.3*($K$2/100+1)</f>
        <v>143.39324999999999</v>
      </c>
      <c r="D558" s="737">
        <f>'Аксессуары (2)'!D558*1.3*($K$2/100+1)</f>
        <v>157.732575</v>
      </c>
      <c r="E558" s="737">
        <f>'Аксессуары (2)'!E558*1.6*($K$2/100+1)</f>
        <v>211.78079999999994</v>
      </c>
      <c r="F558" s="737">
        <f>'Аксессуары (2)'!F558*1.6*($K$2/100+1)</f>
        <v>232.95887999999997</v>
      </c>
      <c r="G558" s="737">
        <f>'Аксессуары (2)'!G558*1.6*($K$2/100+1)</f>
        <v>254.13695999999996</v>
      </c>
      <c r="H558" s="740">
        <f>'Аксессуары (2)'!H558*1.8*($K$2/100+1)</f>
        <v>397.089</v>
      </c>
      <c r="I558" s="740">
        <f>'Аксессуары (2)'!J558*1.48*($K$2/100+1)</f>
        <v>489.74309999999991</v>
      </c>
      <c r="J558" s="741">
        <f>'Аксессуары (2)'!J558*1.8*($K$2/100+1)</f>
        <v>595.63349999999991</v>
      </c>
    </row>
    <row r="559" spans="1:10" ht="14.95" customHeight="1">
      <c r="A559" s="424" t="s">
        <v>474</v>
      </c>
      <c r="B559" s="737">
        <f>'Аксессуары (2)'!B559*1.3*($K$2/100+1)</f>
        <v>132.74311049999997</v>
      </c>
      <c r="C559" s="737">
        <f>'Аксессуары (2)'!C559*1.3*($K$2/100+1)</f>
        <v>147.49234499999997</v>
      </c>
      <c r="D559" s="737">
        <f>'Аксессуары (2)'!D559*1.3*($K$2/100+1)</f>
        <v>162.2415795</v>
      </c>
      <c r="E559" s="737">
        <f>'Аксессуары (2)'!E559*1.6*($K$2/100+1)</f>
        <v>217.83484799999999</v>
      </c>
      <c r="F559" s="737">
        <f>'Аксессуары (2)'!F559*1.6*($K$2/100+1)</f>
        <v>239.61833280000002</v>
      </c>
      <c r="G559" s="737">
        <f>'Аксессуары (2)'!G559*1.6*($K$2/100+1)</f>
        <v>261.40181759999996</v>
      </c>
      <c r="H559" s="740">
        <f>'Аксессуары (2)'!H559*1.8*($K$2/100+1)</f>
        <v>408.44033999999994</v>
      </c>
      <c r="I559" s="740">
        <f>'Аксессуары (2)'!J559*1.48*($K$2/100+1)</f>
        <v>503.74308599999995</v>
      </c>
      <c r="J559" s="741">
        <f>'Аксессуары (2)'!J559*1.8*($K$2/100+1)</f>
        <v>612.66050999999993</v>
      </c>
    </row>
    <row r="560" spans="1:10" ht="14.95" customHeight="1">
      <c r="A560" s="424" t="s">
        <v>475</v>
      </c>
      <c r="B560" s="737">
        <f>'Аксессуары (2)'!B560*1.3*($K$2/100+1)</f>
        <v>105.6890835</v>
      </c>
      <c r="C560" s="737">
        <f>'Аксессуары (2)'!C560*1.3*($K$2/100+1)</f>
        <v>117.43231499999999</v>
      </c>
      <c r="D560" s="737">
        <f>'Аксессуары (2)'!D560*1.3*($K$2/100+1)</f>
        <v>129.1755465</v>
      </c>
      <c r="E560" s="737">
        <f>'Аксессуары (2)'!E560*1.6*($K$2/100+1)</f>
        <v>173.43849599999999</v>
      </c>
      <c r="F560" s="737">
        <f>'Аксессуары (2)'!F560*1.6*($K$2/100+1)</f>
        <v>190.78234560000001</v>
      </c>
      <c r="G560" s="737">
        <f>'Аксессуары (2)'!G560*1.6*($K$2/100+1)</f>
        <v>208.12619520000001</v>
      </c>
      <c r="H560" s="740">
        <f>'Аксессуары (2)'!H560*1.8*($K$2/100+1)</f>
        <v>325.19718</v>
      </c>
      <c r="I560" s="740">
        <f>'Аксессуары (2)'!J560*1.48*($K$2/100+1)</f>
        <v>401.07652199999995</v>
      </c>
      <c r="J560" s="741">
        <f>'Аксессуары (2)'!J560*1.8*($K$2/100+1)</f>
        <v>487.79577</v>
      </c>
    </row>
    <row r="561" spans="1:10" ht="14.95" customHeight="1">
      <c r="A561" s="424" t="s">
        <v>476</v>
      </c>
      <c r="B561" s="737">
        <f>'Аксессуары (2)'!B561*1.3*($K$2/100+1)</f>
        <v>105.3377325</v>
      </c>
      <c r="C561" s="737">
        <f>'Аксессуары (2)'!C561*1.3*($K$2/100+1)</f>
        <v>117.04192499999999</v>
      </c>
      <c r="D561" s="737">
        <f>'Аксессуары (2)'!D561*1.3*($K$2/100+1)</f>
        <v>128.7461175</v>
      </c>
      <c r="E561" s="737">
        <f>'Аксессуары (2)'!E561*1.6*($K$2/100+1)</f>
        <v>172.86191999999997</v>
      </c>
      <c r="F561" s="737">
        <f>'Аксессуары (2)'!F561*1.6*($K$2/100+1)</f>
        <v>190.14811200000003</v>
      </c>
      <c r="G561" s="737">
        <f>'Аксессуары (2)'!G561*1.6*($K$2/100+1)</f>
        <v>207.43430399999997</v>
      </c>
      <c r="H561" s="740">
        <f>'Аксессуары (2)'!H561*1.8*($K$2/100+1)</f>
        <v>324.11609999999996</v>
      </c>
      <c r="I561" s="740">
        <f>'Аксессуары (2)'!J561*1.48*($K$2/100+1)</f>
        <v>399.74318999999997</v>
      </c>
      <c r="J561" s="741">
        <f>'Аксессуары (2)'!J561*1.8*($K$2/100+1)</f>
        <v>486.17415</v>
      </c>
    </row>
    <row r="562" spans="1:10" ht="14.95" customHeight="1">
      <c r="A562" s="424" t="s">
        <v>477</v>
      </c>
      <c r="B562" s="737">
        <f>'Аксессуары (2)'!B562*1.3*($K$2/100+1)</f>
        <v>122.9052825</v>
      </c>
      <c r="C562" s="737">
        <f>'Аксессуары (2)'!C562*1.3*($K$2/100+1)</f>
        <v>136.56142499999999</v>
      </c>
      <c r="D562" s="737">
        <f>'Аксессуары (2)'!D562*1.3*($K$2/100+1)</f>
        <v>150.2175675</v>
      </c>
      <c r="E562" s="737">
        <f>'Аксессуары (2)'!E562*1.6*($K$2/100+1)</f>
        <v>201.69072</v>
      </c>
      <c r="F562" s="737">
        <f>'Аксессуары (2)'!F562*1.6*($K$2/100+1)</f>
        <v>221.85979200000003</v>
      </c>
      <c r="G562" s="737">
        <f>'Аксессуары (2)'!G562*1.6*($K$2/100+1)</f>
        <v>242.02886399999997</v>
      </c>
      <c r="H562" s="740">
        <f>'Аксессуары (2)'!H562*1.8*($K$2/100+1)</f>
        <v>378.17009999999993</v>
      </c>
      <c r="I562" s="740">
        <f>'Аксессуары (2)'!J562*1.48*($K$2/100+1)</f>
        <v>466.40978999999993</v>
      </c>
      <c r="J562" s="741">
        <f>'Аксессуары (2)'!J562*1.8*($K$2/100+1)</f>
        <v>567.25514999999996</v>
      </c>
    </row>
    <row r="563" spans="1:10" ht="14.95" customHeight="1">
      <c r="A563" s="424" t="s">
        <v>478</v>
      </c>
      <c r="B563" s="737">
        <f>'Аксессуары (2)'!B563*1.3*($K$2/100+1)</f>
        <v>140.47283249999998</v>
      </c>
      <c r="C563" s="737">
        <f>'Аксессуары (2)'!C563*1.3*($K$2/100+1)</f>
        <v>156.08092499999995</v>
      </c>
      <c r="D563" s="737">
        <f>'Аксессуары (2)'!D563*1.3*($K$2/100+1)</f>
        <v>171.68901749999998</v>
      </c>
      <c r="E563" s="737">
        <f>'Аксессуары (2)'!E563*1.6*($K$2/100+1)</f>
        <v>230.51951999999994</v>
      </c>
      <c r="F563" s="737">
        <f>'Аксессуары (2)'!F563*1.6*($K$2/100+1)</f>
        <v>253.57147199999991</v>
      </c>
      <c r="G563" s="737">
        <f>'Аксессуары (2)'!G563*1.6*($K$2/100+1)</f>
        <v>276.62342399999994</v>
      </c>
      <c r="H563" s="740">
        <f>'Аксессуары (2)'!H563*1.8*($K$2/100+1)</f>
        <v>432.22409999999991</v>
      </c>
      <c r="I563" s="740">
        <f>'Аксессуары (2)'!J563*1.48*($K$2/100+1)</f>
        <v>533.07638999999983</v>
      </c>
      <c r="J563" s="741">
        <f>'Аксессуары (2)'!J563*1.8*($K$2/100+1)</f>
        <v>648.33614999999986</v>
      </c>
    </row>
    <row r="564" spans="1:10" ht="14.95" customHeight="1">
      <c r="A564" s="424" t="s">
        <v>479</v>
      </c>
      <c r="B564" s="737">
        <f>'Аксессуары (2)'!B564*1.3*($K$2/100+1)</f>
        <v>158.04038250000005</v>
      </c>
      <c r="C564" s="737">
        <f>'Аксессуары (2)'!C564*1.3*($K$2/100+1)</f>
        <v>175.600425</v>
      </c>
      <c r="D564" s="737">
        <f>'Аксессуары (2)'!D564*1.3*($K$2/100+1)</f>
        <v>193.16046750000004</v>
      </c>
      <c r="E564" s="737">
        <f>'Аксессуары (2)'!E564*1.6*($K$2/100+1)</f>
        <v>259.34832000000006</v>
      </c>
      <c r="F564" s="737">
        <f>'Аксессуары (2)'!F564*1.6*($K$2/100+1)</f>
        <v>285.28315200000009</v>
      </c>
      <c r="G564" s="737">
        <f>'Аксессуары (2)'!G564*1.6*($K$2/100+1)</f>
        <v>311.21798400000006</v>
      </c>
      <c r="H564" s="740">
        <f>'Аксессуары (2)'!H564*1.8*($K$2/100+1)</f>
        <v>486.27810000000005</v>
      </c>
      <c r="I564" s="740">
        <f>'Аксессуары (2)'!J564*1.48*($K$2/100+1)</f>
        <v>599.74299000000008</v>
      </c>
      <c r="J564" s="741">
        <f>'Аксессуары (2)'!J564*1.8*($K$2/100+1)</f>
        <v>729.41715000000011</v>
      </c>
    </row>
    <row r="565" spans="1:10" ht="14.95" customHeight="1">
      <c r="A565" s="424" t="s">
        <v>480</v>
      </c>
      <c r="B565" s="737">
        <f>'Аксессуары (2)'!B565*1.3*($K$2/100+1)</f>
        <v>175.60793250000003</v>
      </c>
      <c r="C565" s="737">
        <f>'Аксессуары (2)'!C565*1.3*($K$2/100+1)</f>
        <v>195.11992499999999</v>
      </c>
      <c r="D565" s="737">
        <f>'Аксессуары (2)'!D565*1.3*($K$2/100+1)</f>
        <v>214.63191750000004</v>
      </c>
      <c r="E565" s="737">
        <f>'Аксессуары (2)'!E565*1.6*($K$2/100+1)</f>
        <v>288.17712</v>
      </c>
      <c r="F565" s="737">
        <f>'Аксессуары (2)'!F565*1.6*($K$2/100+1)</f>
        <v>316.99483200000003</v>
      </c>
      <c r="G565" s="737">
        <f>'Аксессуары (2)'!G565*1.6*($K$2/100+1)</f>
        <v>345.812544</v>
      </c>
      <c r="H565" s="740">
        <f>'Аксессуары (2)'!H565*1.8*($K$2/100+1)</f>
        <v>540.33210000000008</v>
      </c>
      <c r="I565" s="740">
        <f>'Аксессуары (2)'!J565*1.48*($K$2/100+1)</f>
        <v>666.40958999999998</v>
      </c>
      <c r="J565" s="741">
        <f>'Аксессуары (2)'!J565*1.8*($K$2/100+1)</f>
        <v>810.4981499999999</v>
      </c>
    </row>
    <row r="566" spans="1:10" ht="14.95" customHeight="1" thickBot="1">
      <c r="A566" s="425" t="s">
        <v>481</v>
      </c>
      <c r="B566" s="737">
        <f>'Аксессуары (2)'!B566*1.3*($K$2/100+1)</f>
        <v>193.17548249999999</v>
      </c>
      <c r="C566" s="737">
        <f>'Аксессуары (2)'!C566*1.3*($K$2/100+1)</f>
        <v>214.63942499999996</v>
      </c>
      <c r="D566" s="737">
        <f>'Аксессуары (2)'!D566*1.3*($K$2/100+1)</f>
        <v>236.10336749999999</v>
      </c>
      <c r="E566" s="737">
        <f>'Аксессуары (2)'!E566*1.6*($K$2/100+1)</f>
        <v>317.00591999999995</v>
      </c>
      <c r="F566" s="737">
        <f>'Аксессуары (2)'!F566*1.6*($K$2/100+1)</f>
        <v>348.70651200000003</v>
      </c>
      <c r="G566" s="737">
        <f>'Аксессуары (2)'!G566*1.6*($K$2/100+1)</f>
        <v>380.40710399999995</v>
      </c>
      <c r="H566" s="742">
        <f>'Аксессуары (2)'!H566*1.8*($K$2/100+1)</f>
        <v>594.38609999999994</v>
      </c>
      <c r="I566" s="742">
        <f>'Аксессуары (2)'!J566*1.48*($K$2/100+1)</f>
        <v>733.07618999999988</v>
      </c>
      <c r="J566" s="743">
        <f>'Аксессуары (2)'!J566*1.8*($K$2/100+1)</f>
        <v>891.57914999999991</v>
      </c>
    </row>
    <row r="567" spans="1:10" s="254" customFormat="1" ht="14.95" customHeight="1" thickBot="1">
      <c r="A567" s="615" t="s">
        <v>2162</v>
      </c>
      <c r="B567" s="842"/>
      <c r="C567" s="843"/>
      <c r="D567" s="843"/>
      <c r="E567" s="843"/>
      <c r="F567" s="843"/>
      <c r="G567" s="843"/>
      <c r="H567" s="843"/>
      <c r="I567" s="843"/>
      <c r="J567" s="844"/>
    </row>
    <row r="568" spans="1:10" ht="14.95" customHeight="1">
      <c r="A568" s="413" t="s">
        <v>482</v>
      </c>
      <c r="B568" s="737">
        <f>'Аксессуары (2)'!B568*1.3*($K$2/100+1)</f>
        <v>282.0788685</v>
      </c>
      <c r="C568" s="737">
        <f>'Аксессуары (2)'!C568*1.3*($K$2/100+1)</f>
        <v>313.42096499999997</v>
      </c>
      <c r="D568" s="737">
        <f>'Аксессуары (2)'!D568*1.3*($K$2/100+1)</f>
        <v>344.76306149999999</v>
      </c>
      <c r="E568" s="737">
        <f>'Аксессуары (2)'!E568*1.6*($K$2/100+1)</f>
        <v>462.89865600000002</v>
      </c>
      <c r="F568" s="737">
        <f>'Аксессуары (2)'!F568*1.6*($K$2/100+1)</f>
        <v>509.1885216</v>
      </c>
      <c r="G568" s="737">
        <f>'Аксессуары (2)'!G568*1.6*($K$2/100+1)</f>
        <v>555.47838719999993</v>
      </c>
      <c r="H568" s="738">
        <f>'Аксессуары (2)'!H568*1.8*($K$2/100+1)</f>
        <v>867.93498</v>
      </c>
      <c r="I568" s="738">
        <f>'Аксессуары (2)'!J568*1.5*($K$2/100+1)</f>
        <v>1084.9187249999998</v>
      </c>
      <c r="J568" s="739">
        <f>'Аксессуары (2)'!J568*1.8*($K$2/100+1)</f>
        <v>1301.90247</v>
      </c>
    </row>
    <row r="569" spans="1:10" ht="14.95" customHeight="1">
      <c r="A569" s="424" t="s">
        <v>483</v>
      </c>
      <c r="B569" s="737">
        <f>'Аксессуары (2)'!B569*1.3*($K$2/100+1)</f>
        <v>276.28157700000003</v>
      </c>
      <c r="C569" s="737">
        <f>'Аксессуары (2)'!C569*1.3*($K$2/100+1)</f>
        <v>306.97953000000001</v>
      </c>
      <c r="D569" s="737">
        <f>'Аксессуары (2)'!D569*1.3*($K$2/100+1)</f>
        <v>337.67748300000005</v>
      </c>
      <c r="E569" s="737">
        <f>'Аксессуары (2)'!E569*1.6*($K$2/100+1)</f>
        <v>453.38515200000001</v>
      </c>
      <c r="F569" s="737">
        <f>'Аксессуары (2)'!F569*1.6*($K$2/100+1)</f>
        <v>498.72366720000008</v>
      </c>
      <c r="G569" s="737">
        <f>'Аксессуары (2)'!G569*1.6*($K$2/100+1)</f>
        <v>544.06218239999987</v>
      </c>
      <c r="H569" s="740">
        <f>'Аксессуары (2)'!H569*1.8*($K$2/100+1)</f>
        <v>850.09716000000003</v>
      </c>
      <c r="I569" s="740">
        <f>'Аксессуары (2)'!J569*1.5*($K$2/100+1)</f>
        <v>1062.6214499999999</v>
      </c>
      <c r="J569" s="741">
        <f>'Аксессуары (2)'!J569*1.8*($K$2/100+1)</f>
        <v>1275.1457399999999</v>
      </c>
    </row>
    <row r="570" spans="1:10" ht="14.95" customHeight="1">
      <c r="A570" s="424" t="s">
        <v>484</v>
      </c>
      <c r="B570" s="737">
        <f>'Аксессуары (2)'!B570*1.3*($K$2/100+1)</f>
        <v>286.64643150000001</v>
      </c>
      <c r="C570" s="737">
        <f>'Аксессуары (2)'!C570*1.3*($K$2/100+1)</f>
        <v>318.49603500000001</v>
      </c>
      <c r="D570" s="737">
        <f>'Аксессуары (2)'!D570*1.3*($K$2/100+1)</f>
        <v>350.34563850000001</v>
      </c>
      <c r="E570" s="737">
        <f>'Аксессуары (2)'!E570*1.6*($K$2/100+1)</f>
        <v>470.39414399999998</v>
      </c>
      <c r="F570" s="737">
        <f>'Аксессуары (2)'!F570*1.6*($K$2/100+1)</f>
        <v>517.43355840000004</v>
      </c>
      <c r="G570" s="737">
        <f>'Аксессуары (2)'!G570*1.6*($K$2/100+1)</f>
        <v>564.47297279999998</v>
      </c>
      <c r="H570" s="740">
        <f>'Аксессуары (2)'!H570*1.8*($K$2/100+1)</f>
        <v>881.98901999999998</v>
      </c>
      <c r="I570" s="740">
        <f>'Аксессуары (2)'!J570*1.5*($K$2/100+1)</f>
        <v>1102.486275</v>
      </c>
      <c r="J570" s="741">
        <f>'Аксессуары (2)'!J570*1.8*($K$2/100+1)</f>
        <v>1322.98353</v>
      </c>
    </row>
    <row r="571" spans="1:10" ht="14.95" customHeight="1">
      <c r="A571" s="424" t="s">
        <v>485</v>
      </c>
      <c r="B571" s="737">
        <f>'Аксессуары (2)'!B571*1.3*($K$2/100+1)</f>
        <v>285.41670300000004</v>
      </c>
      <c r="C571" s="737">
        <f>'Аксессуары (2)'!C571*1.3*($K$2/100+1)</f>
        <v>317.12966999999998</v>
      </c>
      <c r="D571" s="737">
        <f>'Аксессуары (2)'!D571*1.3*($K$2/100+1)</f>
        <v>348.84263700000002</v>
      </c>
      <c r="E571" s="737">
        <f>'Аксессуары (2)'!E571*1.6*($K$2/100+1)</f>
        <v>468.37612799999999</v>
      </c>
      <c r="F571" s="737">
        <f>'Аксессуары (2)'!F571*1.6*($K$2/100+1)</f>
        <v>515.21374079999998</v>
      </c>
      <c r="G571" s="737">
        <f>'Аксессуары (2)'!G571*1.6*($K$2/100+1)</f>
        <v>562.05135359999997</v>
      </c>
      <c r="H571" s="740">
        <f>'Аксессуары (2)'!H571*1.8*($K$2/100+1)</f>
        <v>878.20524000000012</v>
      </c>
      <c r="I571" s="740">
        <f>'Аксессуары (2)'!J571*1.5*($K$2/100+1)</f>
        <v>1097.7565500000001</v>
      </c>
      <c r="J571" s="741">
        <f>'Аксессуары (2)'!J571*1.8*($K$2/100+1)</f>
        <v>1317.3078600000001</v>
      </c>
    </row>
    <row r="572" spans="1:10" ht="14.95" customHeight="1">
      <c r="A572" s="424" t="s">
        <v>486</v>
      </c>
      <c r="B572" s="737">
        <f>'Аксессуары (2)'!B572*1.3*($K$2/100+1)</f>
        <v>301.57884899999999</v>
      </c>
      <c r="C572" s="737">
        <f>'Аксессуары (2)'!C572*1.3*($K$2/100+1)</f>
        <v>335.08760999999993</v>
      </c>
      <c r="D572" s="737">
        <f>'Аксессуары (2)'!D572*1.3*($K$2/100+1)</f>
        <v>368.59637099999998</v>
      </c>
      <c r="E572" s="737">
        <f>'Аксессуары (2)'!E572*1.6*($K$2/100+1)</f>
        <v>494.89862399999998</v>
      </c>
      <c r="F572" s="737">
        <f>'Аксессуары (2)'!F572*1.6*($K$2/100+1)</f>
        <v>544.38848639999992</v>
      </c>
      <c r="G572" s="737">
        <f>'Аксессуары (2)'!G572*1.6*($K$2/100+1)</f>
        <v>593.8783487999998</v>
      </c>
      <c r="H572" s="740">
        <f>'Аксессуары (2)'!H572*1.8*($K$2/100+1)</f>
        <v>927.93491999999981</v>
      </c>
      <c r="I572" s="740">
        <f>'Аксессуары (2)'!J572*1.5*($K$2/100+1)</f>
        <v>1159.9186499999998</v>
      </c>
      <c r="J572" s="741">
        <f>'Аксессуары (2)'!J572*1.8*($K$2/100+1)</f>
        <v>1391.90238</v>
      </c>
    </row>
    <row r="573" spans="1:10" ht="14.95" customHeight="1">
      <c r="A573" s="424" t="s">
        <v>487</v>
      </c>
      <c r="B573" s="737">
        <f>'Аксессуары (2)'!B573*1.3*($K$2/100+1)</f>
        <v>302.10587549999991</v>
      </c>
      <c r="C573" s="737">
        <f>'Аксессуары (2)'!C573*1.3*($K$2/100+1)</f>
        <v>335.67319499999996</v>
      </c>
      <c r="D573" s="737">
        <f>'Аксессуары (2)'!D573*1.3*($K$2/100+1)</f>
        <v>369.24051449999996</v>
      </c>
      <c r="E573" s="737">
        <f>'Аксессуары (2)'!E573*1.6*($K$2/100+1)</f>
        <v>495.76348799999988</v>
      </c>
      <c r="F573" s="737">
        <f>'Аксессуары (2)'!F573*1.6*($K$2/100+1)</f>
        <v>545.33983680000006</v>
      </c>
      <c r="G573" s="737">
        <f>'Аксессуары (2)'!G573*1.6*($K$2/100+1)</f>
        <v>594.91618559999995</v>
      </c>
      <c r="H573" s="740">
        <f>'Аксессуары (2)'!H573*1.8*($K$2/100+1)</f>
        <v>929.55653999999981</v>
      </c>
      <c r="I573" s="740">
        <f>'Аксессуары (2)'!J573*1.5*($K$2/100+1)</f>
        <v>1161.9456749999999</v>
      </c>
      <c r="J573" s="741">
        <f>'Аксессуары (2)'!J573*1.8*($K$2/100+1)</f>
        <v>1394.3348099999998</v>
      </c>
    </row>
    <row r="574" spans="1:10" ht="14.95" customHeight="1">
      <c r="A574" s="424" t="s">
        <v>488</v>
      </c>
      <c r="B574" s="737">
        <f>'Аксессуары (2)'!B574*1.3*($K$2/100+1)</f>
        <v>299.64641849999998</v>
      </c>
      <c r="C574" s="737">
        <f>'Аксессуары (2)'!C574*1.3*($K$2/100+1)</f>
        <v>332.94046499999996</v>
      </c>
      <c r="D574" s="737">
        <f>'Аксессуары (2)'!D574*1.3*($K$2/100+1)</f>
        <v>366.2345115</v>
      </c>
      <c r="E574" s="737">
        <f>'Аксессуары (2)'!E574*1.6*($K$2/100+1)</f>
        <v>491.72745599999996</v>
      </c>
      <c r="F574" s="737">
        <f>'Аксессуары (2)'!F574*1.6*($K$2/100+1)</f>
        <v>540.90020159999995</v>
      </c>
      <c r="G574" s="737">
        <f>'Аксессуары (2)'!G574*1.6*($K$2/100+1)</f>
        <v>590.07294719999993</v>
      </c>
      <c r="H574" s="740">
        <f>'Аксессуары (2)'!H574*1.8*($K$2/100+1)</f>
        <v>921.98897999999997</v>
      </c>
      <c r="I574" s="740">
        <f>'Аксессуары (2)'!J574*1.5*($K$2/100+1)</f>
        <v>1152.4862249999999</v>
      </c>
      <c r="J574" s="741">
        <f>'Аксессуары (2)'!J574*1.8*($K$2/100+1)</f>
        <v>1382.9834699999999</v>
      </c>
    </row>
    <row r="575" spans="1:10" ht="14.95" customHeight="1">
      <c r="A575" s="424" t="s">
        <v>489</v>
      </c>
      <c r="B575" s="737">
        <f>'Аксессуары (2)'!B575*1.3*($K$2/100+1)</f>
        <v>320.02477649999997</v>
      </c>
      <c r="C575" s="737">
        <f>'Аксессуары (2)'!C575*1.3*($K$2/100+1)</f>
        <v>355.58308499999998</v>
      </c>
      <c r="D575" s="737">
        <f>'Аксессуары (2)'!D575*1.3*($K$2/100+1)</f>
        <v>391.14139349999999</v>
      </c>
      <c r="E575" s="737">
        <f>'Аксессуары (2)'!E575*1.6*($K$2/100+1)</f>
        <v>525.16886399999999</v>
      </c>
      <c r="F575" s="737">
        <f>'Аксессуары (2)'!F575*1.6*($K$2/100+1)</f>
        <v>577.68575039999996</v>
      </c>
      <c r="G575" s="737">
        <f>'Аксессуары (2)'!G575*1.6*($K$2/100+1)</f>
        <v>630.20263679999994</v>
      </c>
      <c r="H575" s="740">
        <f>'Аксессуары (2)'!H575*1.8*($K$2/100+1)</f>
        <v>984.69161999999983</v>
      </c>
      <c r="I575" s="740">
        <f>'Аксессуары (2)'!J575*1.5*($K$2/100+1)</f>
        <v>1230.8645249999997</v>
      </c>
      <c r="J575" s="741">
        <f>'Аксессуары (2)'!J575*1.8*($K$2/100+1)</f>
        <v>1477.0374299999999</v>
      </c>
    </row>
    <row r="576" spans="1:10" ht="14.95" customHeight="1">
      <c r="A576" s="424" t="s">
        <v>490</v>
      </c>
      <c r="B576" s="737">
        <f>'Аксессуары (2)'!B576*1.3*($K$2/100+1)</f>
        <v>318.09234600000002</v>
      </c>
      <c r="C576" s="737">
        <f>'Аксессуары (2)'!C576*1.3*($K$2/100+1)</f>
        <v>353.43593999999996</v>
      </c>
      <c r="D576" s="737">
        <f>'Аксессуары (2)'!D576*1.3*($K$2/100+1)</f>
        <v>388.77953400000001</v>
      </c>
      <c r="E576" s="737">
        <f>'Аксессуары (2)'!E576*1.6*($K$2/100+1)</f>
        <v>521.99769599999991</v>
      </c>
      <c r="F576" s="737">
        <f>'Аксессуары (2)'!F576*1.6*($K$2/100+1)</f>
        <v>574.19746559999999</v>
      </c>
      <c r="G576" s="737">
        <f>'Аксессуары (2)'!G576*1.6*($K$2/100+1)</f>
        <v>626.39723519999995</v>
      </c>
      <c r="H576" s="740">
        <f>'Аксессуары (2)'!H576*1.8*($K$2/100+1)</f>
        <v>978.74567999999999</v>
      </c>
      <c r="I576" s="740">
        <f>'Аксессуары (2)'!J576*1.5*($K$2/100+1)</f>
        <v>1223.4320999999998</v>
      </c>
      <c r="J576" s="741">
        <f>'Аксессуары (2)'!J576*1.8*($K$2/100+1)</f>
        <v>1468.1185199999998</v>
      </c>
    </row>
    <row r="577" spans="1:10" ht="14.95" customHeight="1">
      <c r="A577" s="424" t="s">
        <v>491</v>
      </c>
      <c r="B577" s="737">
        <f>'Аксессуары (2)'!B577*1.3*($K$2/100+1)</f>
        <v>333.20043900000002</v>
      </c>
      <c r="C577" s="737">
        <f>'Аксессуары (2)'!C577*1.3*($K$2/100+1)</f>
        <v>370.22271000000001</v>
      </c>
      <c r="D577" s="737">
        <f>'Аксессуары (2)'!D577*1.3*($K$2/100+1)</f>
        <v>407.24498100000005</v>
      </c>
      <c r="E577" s="737">
        <f>'Аксессуары (2)'!E577*1.6*($K$2/100+1)</f>
        <v>546.79046400000004</v>
      </c>
      <c r="F577" s="737">
        <f>'Аксессуары (2)'!F577*1.6*($K$2/100+1)</f>
        <v>601.4695104000001</v>
      </c>
      <c r="G577" s="737">
        <f>'Аксессуары (2)'!G577*1.6*($K$2/100+1)</f>
        <v>656.14855679999994</v>
      </c>
      <c r="H577" s="740">
        <f>'Аксессуары (2)'!H577*1.8*($K$2/100+1)</f>
        <v>1025.2321200000001</v>
      </c>
      <c r="I577" s="740">
        <f>'Аксессуары (2)'!J577*1.5*($K$2/100+1)</f>
        <v>1281.5401500000003</v>
      </c>
      <c r="J577" s="741">
        <f>'Аксессуары (2)'!J577*1.8*($K$2/100+1)</f>
        <v>1537.8481800000002</v>
      </c>
    </row>
    <row r="578" spans="1:10" ht="14.95" customHeight="1">
      <c r="A578" s="424" t="s">
        <v>492</v>
      </c>
      <c r="B578" s="737">
        <f>'Аксессуары (2)'!B578*1.3*($K$2/100+1)</f>
        <v>334.7815185</v>
      </c>
      <c r="C578" s="737">
        <f>'Аксессуары (2)'!C578*1.3*($K$2/100+1)</f>
        <v>371.979465</v>
      </c>
      <c r="D578" s="737">
        <f>'Аксессуары (2)'!D578*1.3*($K$2/100+1)</f>
        <v>409.17741150000001</v>
      </c>
      <c r="E578" s="737">
        <f>'Аксессуары (2)'!E578*1.6*($K$2/100+1)</f>
        <v>549.38505599999996</v>
      </c>
      <c r="F578" s="737">
        <f>'Аксессуары (2)'!F578*1.6*($K$2/100+1)</f>
        <v>604.32356159999995</v>
      </c>
      <c r="G578" s="737">
        <f>'Аксессуары (2)'!G578*1.6*($K$2/100+1)</f>
        <v>659.26206719999993</v>
      </c>
      <c r="H578" s="740">
        <f>'Аксессуары (2)'!H578*1.8*($K$2/100+1)</f>
        <v>1030.09698</v>
      </c>
      <c r="I578" s="740">
        <f>'Аксессуары (2)'!J578*1.5*($K$2/100+1)</f>
        <v>1287.6212249999999</v>
      </c>
      <c r="J578" s="741">
        <f>'Аксессуары (2)'!J578*1.8*($K$2/100+1)</f>
        <v>1545.1454699999997</v>
      </c>
    </row>
    <row r="579" spans="1:10" ht="14.95" customHeight="1">
      <c r="A579" s="424" t="s">
        <v>493</v>
      </c>
      <c r="B579" s="737">
        <f>'Аксессуары (2)'!B579*1.3*($K$2/100+1)</f>
        <v>333.20043900000002</v>
      </c>
      <c r="C579" s="737">
        <f>'Аксессуары (2)'!C579*1.3*($K$2/100+1)</f>
        <v>370.22271000000001</v>
      </c>
      <c r="D579" s="737">
        <f>'Аксессуары (2)'!D579*1.3*($K$2/100+1)</f>
        <v>407.24498100000005</v>
      </c>
      <c r="E579" s="737">
        <f>'Аксессуары (2)'!E579*1.6*($K$2/100+1)</f>
        <v>546.79046400000004</v>
      </c>
      <c r="F579" s="737">
        <f>'Аксессуары (2)'!F579*1.6*($K$2/100+1)</f>
        <v>601.4695104000001</v>
      </c>
      <c r="G579" s="737">
        <f>'Аксессуары (2)'!G579*1.6*($K$2/100+1)</f>
        <v>656.14855679999994</v>
      </c>
      <c r="H579" s="740">
        <f>'Аксессуары (2)'!H579*1.8*($K$2/100+1)</f>
        <v>1025.2321200000001</v>
      </c>
      <c r="I579" s="740">
        <f>'Аксессуары (2)'!J579*1.5*($K$2/100+1)</f>
        <v>1281.5401500000003</v>
      </c>
      <c r="J579" s="741">
        <f>'Аксессуары (2)'!J579*1.8*($K$2/100+1)</f>
        <v>1537.8481800000002</v>
      </c>
    </row>
    <row r="580" spans="1:10" ht="14.95" customHeight="1">
      <c r="A580" s="424" t="s">
        <v>494</v>
      </c>
      <c r="B580" s="737">
        <f>'Аксессуары (2)'!B580*1.3*($K$2/100+1)</f>
        <v>354.98420100000004</v>
      </c>
      <c r="C580" s="737">
        <f>'Аксессуары (2)'!C580*1.3*($K$2/100+1)</f>
        <v>394.42689000000001</v>
      </c>
      <c r="D580" s="737">
        <f>'Аксессуары (2)'!D580*1.3*($K$2/100+1)</f>
        <v>433.86957900000004</v>
      </c>
      <c r="E580" s="737">
        <f>'Аксессуары (2)'!E580*1.6*($K$2/100+1)</f>
        <v>582.53817600000002</v>
      </c>
      <c r="F580" s="737">
        <f>'Аксессуары (2)'!F580*1.6*($K$2/100+1)</f>
        <v>640.79199359999996</v>
      </c>
      <c r="G580" s="737">
        <f>'Аксессуары (2)'!G580*1.6*($K$2/100+1)</f>
        <v>699.0458112</v>
      </c>
      <c r="H580" s="740">
        <f>'Аксессуары (2)'!H580*1.8*($K$2/100+1)</f>
        <v>1092.25908</v>
      </c>
      <c r="I580" s="740">
        <f>'Аксессуары (2)'!J580*1.5*($K$2/100+1)</f>
        <v>1365.3238499999998</v>
      </c>
      <c r="J580" s="741">
        <f>'Аксессуары (2)'!J580*1.8*($K$2/100+1)</f>
        <v>1638.3886199999997</v>
      </c>
    </row>
    <row r="581" spans="1:10" ht="14.95" customHeight="1">
      <c r="A581" s="424" t="s">
        <v>495</v>
      </c>
      <c r="B581" s="737">
        <f>'Аксессуары (2)'!B581*1.3*($K$2/100+1)</f>
        <v>372.2004</v>
      </c>
      <c r="C581" s="737">
        <f>'Аксессуары (2)'!C581*1.3*($K$2/100+1)</f>
        <v>413.55599999999998</v>
      </c>
      <c r="D581" s="737">
        <f>'Аксессуары (2)'!D581*1.3*($K$2/100+1)</f>
        <v>454.91160000000008</v>
      </c>
      <c r="E581" s="737">
        <f>'Аксессуары (2)'!E581*1.6*($K$2/100+1)</f>
        <v>610.79040000000009</v>
      </c>
      <c r="F581" s="737">
        <f>'Аксессуары (2)'!F581*1.6*($K$2/100+1)</f>
        <v>671.86944000000005</v>
      </c>
      <c r="G581" s="737">
        <f>'Аксессуары (2)'!G581*1.6*($K$2/100+1)</f>
        <v>732.94848000000002</v>
      </c>
      <c r="H581" s="740">
        <f>'Аксессуары (2)'!H581*1.8*($K$2/100+1)</f>
        <v>1145.232</v>
      </c>
      <c r="I581" s="740">
        <f>'Аксессуары (2)'!J581*1.5*($K$2/100+1)</f>
        <v>1431.5400000000002</v>
      </c>
      <c r="J581" s="741">
        <f>'Аксессуары (2)'!J581*1.8*($K$2/100+1)</f>
        <v>1717.8480000000002</v>
      </c>
    </row>
    <row r="582" spans="1:10" ht="14.95" customHeight="1">
      <c r="A582" s="424" t="s">
        <v>496</v>
      </c>
      <c r="B582" s="737">
        <f>'Аксессуары (2)'!B582*1.3*($K$2/100+1)</f>
        <v>288.75453750000003</v>
      </c>
      <c r="C582" s="737">
        <f>'Аксессуары (2)'!C582*1.3*($K$2/100+1)</f>
        <v>320.83837499999998</v>
      </c>
      <c r="D582" s="737">
        <f>'Аксессуары (2)'!D582*1.3*($K$2/100+1)</f>
        <v>352.9222125</v>
      </c>
      <c r="E582" s="737">
        <f>'Аксессуары (2)'!E582*1.6*($K$2/100+1)</f>
        <v>473.85359999999991</v>
      </c>
      <c r="F582" s="737">
        <f>'Аксессуары (2)'!F582*1.6*($K$2/100+1)</f>
        <v>521.23896000000002</v>
      </c>
      <c r="G582" s="737">
        <f>'Аксессуары (2)'!G582*1.6*($K$2/100+1)</f>
        <v>568.6243199999999</v>
      </c>
      <c r="H582" s="740">
        <f>'Аксессуары (2)'!H582*1.8*($K$2/100+1)</f>
        <v>888.47550000000001</v>
      </c>
      <c r="I582" s="740">
        <f>'Аксессуары (2)'!J582*1.5*($K$2/100+1)</f>
        <v>1110.5943749999999</v>
      </c>
      <c r="J582" s="741">
        <f>'Аксессуары (2)'!J582*1.8*($K$2/100+1)</f>
        <v>1332.7132499999998</v>
      </c>
    </row>
    <row r="583" spans="1:10" ht="14.95" customHeight="1">
      <c r="A583" s="424" t="s">
        <v>497</v>
      </c>
      <c r="B583" s="737">
        <f>'Аксессуары (2)'!B583*1.3*($K$2/100+1)</f>
        <v>296.83561049999997</v>
      </c>
      <c r="C583" s="737">
        <f>'Аксессуары (2)'!C583*1.3*($K$2/100+1)</f>
        <v>329.81734499999999</v>
      </c>
      <c r="D583" s="737">
        <f>'Аксессуары (2)'!D583*1.3*($K$2/100+1)</f>
        <v>362.7990795</v>
      </c>
      <c r="E583" s="737">
        <f>'Аксессуары (2)'!E583*1.6*($K$2/100+1)</f>
        <v>487.11484799999994</v>
      </c>
      <c r="F583" s="737">
        <f>'Аксессуары (2)'!F583*1.6*($K$2/100+1)</f>
        <v>535.82633280000005</v>
      </c>
      <c r="G583" s="737">
        <f>'Аксессуары (2)'!G583*1.6*($K$2/100+1)</f>
        <v>584.53781759999993</v>
      </c>
      <c r="H583" s="740">
        <f>'Аксессуары (2)'!H583*1.8*($K$2/100+1)</f>
        <v>913.34033999999986</v>
      </c>
      <c r="I583" s="740">
        <f>'Аксессуары (2)'!J583*1.5*($K$2/100+1)</f>
        <v>1141.6754250000001</v>
      </c>
      <c r="J583" s="741">
        <f>'Аксессуары (2)'!J583*1.8*($K$2/100+1)</f>
        <v>1370.0105100000001</v>
      </c>
    </row>
    <row r="584" spans="1:10" ht="14.95" customHeight="1">
      <c r="A584" s="424" t="s">
        <v>498</v>
      </c>
      <c r="B584" s="737">
        <f>'Аксессуары (2)'!B584*1.3*($K$2/100+1)</f>
        <v>298.06533899999999</v>
      </c>
      <c r="C584" s="737">
        <f>'Аксессуары (2)'!C584*1.3*($K$2/100+1)</f>
        <v>331.18370999999996</v>
      </c>
      <c r="D584" s="737">
        <f>'Аксессуары (2)'!D584*1.3*($K$2/100+1)</f>
        <v>364.30208100000004</v>
      </c>
      <c r="E584" s="737">
        <f>'Аксессуары (2)'!E584*1.6*($K$2/100+1)</f>
        <v>489.13286399999987</v>
      </c>
      <c r="F584" s="737">
        <f>'Аксессуары (2)'!F584*1.6*($K$2/100+1)</f>
        <v>538.0461504000001</v>
      </c>
      <c r="G584" s="737">
        <f>'Аксессуары (2)'!G584*1.6*($K$2/100+1)</f>
        <v>586.95943679999993</v>
      </c>
      <c r="H584" s="740">
        <f>'Аксессуары (2)'!H584*1.8*($K$2/100+1)</f>
        <v>917.12411999999995</v>
      </c>
      <c r="I584" s="740">
        <f>'Аксессуары (2)'!J584*1.5*($K$2/100+1)</f>
        <v>1146.4051499999998</v>
      </c>
      <c r="J584" s="741">
        <f>'Аксессуары (2)'!J584*1.8*($K$2/100+1)</f>
        <v>1375.6861799999999</v>
      </c>
    </row>
    <row r="585" spans="1:10" ht="14.95" customHeight="1">
      <c r="A585" s="424" t="s">
        <v>499</v>
      </c>
      <c r="B585" s="737">
        <f>'Аксессуары (2)'!B585*1.3*($K$2/100+1)</f>
        <v>316.33559099999997</v>
      </c>
      <c r="C585" s="737">
        <f>'Аксессуары (2)'!C585*1.3*($K$2/100+1)</f>
        <v>351.48399000000001</v>
      </c>
      <c r="D585" s="737">
        <f>'Аксессуары (2)'!D585*1.3*($K$2/100+1)</f>
        <v>386.63238899999999</v>
      </c>
      <c r="E585" s="737">
        <f>'Аксессуары (2)'!E585*1.6*($K$2/100+1)</f>
        <v>519.11481600000002</v>
      </c>
      <c r="F585" s="737">
        <f>'Аксессуары (2)'!F585*1.6*($K$2/100+1)</f>
        <v>571.02629760000002</v>
      </c>
      <c r="G585" s="737">
        <f>'Аксессуары (2)'!G585*1.6*($K$2/100+1)</f>
        <v>622.93777920000002</v>
      </c>
      <c r="H585" s="740">
        <f>'Аксессуары (2)'!H585*1.8*($K$2/100+1)</f>
        <v>973.34027999999989</v>
      </c>
      <c r="I585" s="740">
        <f>'Аксессуары (2)'!J585*1.5*($K$2/100+1)</f>
        <v>1216.67535</v>
      </c>
      <c r="J585" s="741">
        <f>'Аксессуары (2)'!J585*1.8*($K$2/100+1)</f>
        <v>1460.0104200000001</v>
      </c>
    </row>
    <row r="586" spans="1:10" ht="14.95" customHeight="1">
      <c r="A586" s="424" t="s">
        <v>500</v>
      </c>
      <c r="B586" s="737">
        <f>'Аксессуары (2)'!B586*1.3*($K$2/100+1)</f>
        <v>319.49775</v>
      </c>
      <c r="C586" s="737">
        <f>'Аксессуары (2)'!C586*1.3*($K$2/100+1)</f>
        <v>354.9975</v>
      </c>
      <c r="D586" s="737">
        <f>'Аксессуары (2)'!D586*1.3*($K$2/100+1)</f>
        <v>390.49725000000001</v>
      </c>
      <c r="E586" s="737">
        <f>'Аксессуары (2)'!E586*1.6*($K$2/100+1)</f>
        <v>524.30399999999997</v>
      </c>
      <c r="F586" s="737">
        <f>'Аксессуары (2)'!F586*1.6*($K$2/100+1)</f>
        <v>576.73440000000005</v>
      </c>
      <c r="G586" s="737">
        <f>'Аксессуары (2)'!G586*1.6*($K$2/100+1)</f>
        <v>629.16480000000001</v>
      </c>
      <c r="H586" s="740">
        <f>'Аксессуары (2)'!H586*1.8*($K$2/100+1)</f>
        <v>983.07</v>
      </c>
      <c r="I586" s="740">
        <f>'Аксессуары (2)'!J586*1.5*($K$2/100+1)</f>
        <v>1228.8374999999999</v>
      </c>
      <c r="J586" s="741">
        <f>'Аксессуары (2)'!J586*1.8*($K$2/100+1)</f>
        <v>1474.605</v>
      </c>
    </row>
    <row r="587" spans="1:10" ht="14.95" customHeight="1">
      <c r="A587" s="424" t="s">
        <v>501</v>
      </c>
      <c r="B587" s="737">
        <f>'Аксессуары (2)'!B587*1.3*($K$2/100+1)</f>
        <v>315.45721349999997</v>
      </c>
      <c r="C587" s="737">
        <f>'Аксессуары (2)'!C587*1.3*($K$2/100+1)</f>
        <v>350.50801499999994</v>
      </c>
      <c r="D587" s="737">
        <f>'Аксессуары (2)'!D587*1.3*($K$2/100+1)</f>
        <v>385.55881650000003</v>
      </c>
      <c r="E587" s="737">
        <f>'Аксессуары (2)'!E587*1.6*($K$2/100+1)</f>
        <v>517.67337599999996</v>
      </c>
      <c r="F587" s="737">
        <f>'Аксессуары (2)'!F587*1.6*($K$2/100+1)</f>
        <v>569.44071359999998</v>
      </c>
      <c r="G587" s="737">
        <f>'Аксессуары (2)'!G587*1.6*($K$2/100+1)</f>
        <v>621.20805119999989</v>
      </c>
      <c r="H587" s="740">
        <f>'Аксессуары (2)'!H587*1.8*($K$2/100+1)</f>
        <v>970.63757999999984</v>
      </c>
      <c r="I587" s="740">
        <f>'Аксессуары (2)'!J587*1.5*($K$2/100+1)</f>
        <v>1213.2969749999997</v>
      </c>
      <c r="J587" s="741">
        <f>'Аксессуары (2)'!J587*1.8*($K$2/100+1)</f>
        <v>1455.9563699999999</v>
      </c>
    </row>
    <row r="588" spans="1:10" ht="14.95" customHeight="1">
      <c r="A588" s="424" t="s">
        <v>502</v>
      </c>
      <c r="B588" s="737">
        <f>'Аксессуары (2)'!B588*1.3*($K$2/100+1)</f>
        <v>335.30854499999998</v>
      </c>
      <c r="C588" s="737">
        <f>'Аксессуары (2)'!C588*1.3*($K$2/100+1)</f>
        <v>372.56504999999999</v>
      </c>
      <c r="D588" s="737">
        <f>'Аксессуары (2)'!D588*1.3*($K$2/100+1)</f>
        <v>409.82155500000005</v>
      </c>
      <c r="E588" s="737">
        <f>'Аксессуары (2)'!E588*1.6*($K$2/100+1)</f>
        <v>550.24991999999997</v>
      </c>
      <c r="F588" s="737">
        <f>'Аксессуары (2)'!F588*1.6*($K$2/100+1)</f>
        <v>605.27491200000009</v>
      </c>
      <c r="G588" s="737">
        <f>'Аксессуары (2)'!G588*1.6*($K$2/100+1)</f>
        <v>660.29990399999997</v>
      </c>
      <c r="H588" s="740">
        <f>'Аксессуары (2)'!H588*1.8*($K$2/100+1)</f>
        <v>1031.7185999999999</v>
      </c>
      <c r="I588" s="740">
        <f>'Аксессуары (2)'!J588*1.5*($K$2/100+1)</f>
        <v>1289.6482499999997</v>
      </c>
      <c r="J588" s="741">
        <f>'Аксессуары (2)'!J588*1.8*($K$2/100+1)</f>
        <v>1547.5778999999998</v>
      </c>
    </row>
    <row r="589" spans="1:10" ht="14.95" customHeight="1">
      <c r="A589" s="424" t="s">
        <v>503</v>
      </c>
      <c r="B589" s="737">
        <f>'Аксессуары (2)'!B589*1.3*($K$2/100+1)</f>
        <v>334.07881650000002</v>
      </c>
      <c r="C589" s="737">
        <f>'Аксессуары (2)'!C589*1.3*($K$2/100+1)</f>
        <v>371.19868499999995</v>
      </c>
      <c r="D589" s="737">
        <f>'Аксессуары (2)'!D589*1.3*($K$2/100+1)</f>
        <v>408.31855350000001</v>
      </c>
      <c r="E589" s="737">
        <f>'Аксессуары (2)'!E589*1.6*($K$2/100+1)</f>
        <v>548.23190399999999</v>
      </c>
      <c r="F589" s="737">
        <f>'Аксессуары (2)'!F589*1.6*($K$2/100+1)</f>
        <v>603.05509440000003</v>
      </c>
      <c r="G589" s="737">
        <f>'Аксессуары (2)'!G589*1.6*($K$2/100+1)</f>
        <v>657.87828479999996</v>
      </c>
      <c r="H589" s="740">
        <f>'Аксессуары (2)'!H589*1.8*($K$2/100+1)</f>
        <v>1027.9348199999999</v>
      </c>
      <c r="I589" s="740">
        <f>'Аксессуары (2)'!J589*1.5*($K$2/100+1)</f>
        <v>1284.9185249999998</v>
      </c>
      <c r="J589" s="741">
        <f>'Аксессуары (2)'!J589*1.8*($K$2/100+1)</f>
        <v>1541.9022299999999</v>
      </c>
    </row>
    <row r="590" spans="1:10" ht="14.95" customHeight="1">
      <c r="A590" s="424" t="s">
        <v>504</v>
      </c>
      <c r="B590" s="737">
        <f>'Аксессуары (2)'!B590*1.3*($K$2/100+1)</f>
        <v>340.57880999999998</v>
      </c>
      <c r="C590" s="737">
        <f>'Аксессуары (2)'!C590*1.3*($K$2/100+1)</f>
        <v>378.42089999999996</v>
      </c>
      <c r="D590" s="737">
        <f>'Аксессуары (2)'!D590*1.3*($K$2/100+1)</f>
        <v>416.26299</v>
      </c>
      <c r="E590" s="737">
        <f>'Аксессуары (2)'!E590*1.6*($K$2/100+1)</f>
        <v>558.89855999999997</v>
      </c>
      <c r="F590" s="737">
        <f>'Аксессуары (2)'!F590*1.6*($K$2/100+1)</f>
        <v>614.7884160000001</v>
      </c>
      <c r="G590" s="737">
        <f>'Аксессуары (2)'!G590*1.6*($K$2/100+1)</f>
        <v>670.67827199999988</v>
      </c>
      <c r="H590" s="740">
        <f>'Аксессуары (2)'!H590*1.8*($K$2/100+1)</f>
        <v>1047.9348</v>
      </c>
      <c r="I590" s="740">
        <f>'Аксессуары (2)'!J590*1.5*($K$2/100+1)</f>
        <v>1309.9185</v>
      </c>
      <c r="J590" s="741">
        <f>'Аксессуары (2)'!J590*1.8*($K$2/100+1)</f>
        <v>1571.9022</v>
      </c>
    </row>
    <row r="591" spans="1:10" ht="14.95" customHeight="1">
      <c r="A591" s="424" t="s">
        <v>505</v>
      </c>
      <c r="B591" s="737">
        <f>'Аксессуары (2)'!B591*1.3*($K$2/100+1)</f>
        <v>345.84907500000003</v>
      </c>
      <c r="C591" s="737">
        <f>'Аксессуары (2)'!C591*1.3*($K$2/100+1)</f>
        <v>384.27674999999999</v>
      </c>
      <c r="D591" s="737">
        <f>'Аксессуары (2)'!D591*1.3*($K$2/100+1)</f>
        <v>422.70442500000007</v>
      </c>
      <c r="E591" s="737">
        <f>'Аксессуары (2)'!E591*1.6*($K$2/100+1)</f>
        <v>567.54719999999998</v>
      </c>
      <c r="F591" s="737">
        <f>'Аксессуары (2)'!F591*1.6*($K$2/100+1)</f>
        <v>624.30192000000011</v>
      </c>
      <c r="G591" s="737">
        <f>'Аксессуары (2)'!G591*1.6*($K$2/100+1)</f>
        <v>681.05664000000002</v>
      </c>
      <c r="H591" s="740">
        <f>'Аксессуары (2)'!H591*1.8*($K$2/100+1)</f>
        <v>1064.1510000000001</v>
      </c>
      <c r="I591" s="740">
        <f>'Аксессуары (2)'!J591*1.5*($K$2/100+1)</f>
        <v>1330.18875</v>
      </c>
      <c r="J591" s="741">
        <f>'Аксессуары (2)'!J591*1.8*($K$2/100+1)</f>
        <v>1596.2265</v>
      </c>
    </row>
    <row r="592" spans="1:10" ht="14.95" customHeight="1">
      <c r="A592" s="424" t="s">
        <v>506</v>
      </c>
      <c r="B592" s="737">
        <f>'Аксессуары (2)'!B592*1.3*($K$2/100+1)</f>
        <v>349.36258499999997</v>
      </c>
      <c r="C592" s="737">
        <f>'Аксессуары (2)'!C592*1.3*($K$2/100+1)</f>
        <v>388.18064999999996</v>
      </c>
      <c r="D592" s="737">
        <f>'Аксессуары (2)'!D592*1.3*($K$2/100+1)</f>
        <v>426.998715</v>
      </c>
      <c r="E592" s="737">
        <f>'Аксессуары (2)'!E592*1.6*($K$2/100+1)</f>
        <v>573.31295999999998</v>
      </c>
      <c r="F592" s="737">
        <f>'Аксессуары (2)'!F592*1.6*($K$2/100+1)</f>
        <v>630.64425600000004</v>
      </c>
      <c r="G592" s="737">
        <f>'Аксессуары (2)'!G592*1.6*($K$2/100+1)</f>
        <v>687.97555199999999</v>
      </c>
      <c r="H592" s="740">
        <f>'Аксессуары (2)'!H592*1.8*($K$2/100+1)</f>
        <v>1074.9617999999998</v>
      </c>
      <c r="I592" s="740">
        <f>'Аксессуары (2)'!J592*1.5*($K$2/100+1)</f>
        <v>1343.70225</v>
      </c>
      <c r="J592" s="741">
        <f>'Аксессуары (2)'!J592*1.8*($K$2/100+1)</f>
        <v>1612.4426999999998</v>
      </c>
    </row>
    <row r="593" spans="1:10" ht="14.95" customHeight="1">
      <c r="A593" s="424" t="s">
        <v>507</v>
      </c>
      <c r="B593" s="737">
        <f>'Аксессуары (2)'!B593*1.3*($K$2/100+1)</f>
        <v>352.87609500000002</v>
      </c>
      <c r="C593" s="737">
        <f>'Аксессуары (2)'!C593*1.3*($K$2/100+1)</f>
        <v>392.08454999999998</v>
      </c>
      <c r="D593" s="737">
        <f>'Аксессуары (2)'!D593*1.3*($K$2/100+1)</f>
        <v>431.29300499999999</v>
      </c>
      <c r="E593" s="737">
        <f>'Аксессуары (2)'!E593*1.6*($K$2/100+1)</f>
        <v>579.07871999999998</v>
      </c>
      <c r="F593" s="737">
        <f>'Аксессуары (2)'!F593*1.6*($K$2/100+1)</f>
        <v>636.98659200000009</v>
      </c>
      <c r="G593" s="737">
        <f>'Аксессуары (2)'!G593*1.6*($K$2/100+1)</f>
        <v>694.89446399999986</v>
      </c>
      <c r="H593" s="740">
        <f>'Аксессуары (2)'!H593*1.8*($K$2/100+1)</f>
        <v>1085.7726</v>
      </c>
      <c r="I593" s="740">
        <f>'Аксессуары (2)'!J593*1.5*($K$2/100+1)</f>
        <v>1357.2157500000001</v>
      </c>
      <c r="J593" s="741">
        <f>'Аксессуары (2)'!J593*1.8*($K$2/100+1)</f>
        <v>1628.6588999999999</v>
      </c>
    </row>
    <row r="594" spans="1:10" ht="14.95" customHeight="1">
      <c r="A594" s="424" t="s">
        <v>508</v>
      </c>
      <c r="B594" s="737">
        <f>'Аксессуары (2)'!B594*1.3*($K$2/100+1)</f>
        <v>358.14636000000002</v>
      </c>
      <c r="C594" s="737">
        <f>'Аксессуары (2)'!C594*1.3*($K$2/100+1)</f>
        <v>397.94039999999995</v>
      </c>
      <c r="D594" s="737">
        <f>'Аксессуары (2)'!D594*1.3*($K$2/100+1)</f>
        <v>437.73444000000001</v>
      </c>
      <c r="E594" s="737">
        <f>'Аксессуары (2)'!E594*1.6*($K$2/100+1)</f>
        <v>587.72735999999998</v>
      </c>
      <c r="F594" s="737">
        <f>'Аксессуары (2)'!F594*1.6*($K$2/100+1)</f>
        <v>646.50009599999998</v>
      </c>
      <c r="G594" s="737">
        <f>'Аксессуары (2)'!G594*1.6*($K$2/100+1)</f>
        <v>705.27283199999977</v>
      </c>
      <c r="H594" s="740">
        <f>'Аксессуары (2)'!H594*1.8*($K$2/100+1)</f>
        <v>1101.9887999999999</v>
      </c>
      <c r="I594" s="740">
        <f>'Аксессуары (2)'!J594*1.5*($K$2/100+1)</f>
        <v>1377.4859999999999</v>
      </c>
      <c r="J594" s="741">
        <f>'Аксессуары (2)'!J594*1.8*($K$2/100+1)</f>
        <v>1652.9831999999997</v>
      </c>
    </row>
    <row r="595" spans="1:10" ht="14.95" customHeight="1">
      <c r="A595" s="424" t="s">
        <v>509</v>
      </c>
      <c r="B595" s="737">
        <f>'Аксессуары (2)'!B595*1.3*($K$2/100+1)</f>
        <v>299.82209399999999</v>
      </c>
      <c r="C595" s="737">
        <f>'Аксессуары (2)'!C595*1.3*($K$2/100+1)</f>
        <v>333.13565999999997</v>
      </c>
      <c r="D595" s="737">
        <f>'Аксессуары (2)'!D595*1.3*($K$2/100+1)</f>
        <v>366.44922600000001</v>
      </c>
      <c r="E595" s="737">
        <f>'Аксессуары (2)'!E595*1.6*($K$2/100+1)</f>
        <v>492.01574399999993</v>
      </c>
      <c r="F595" s="737">
        <f>'Аксессуары (2)'!F595*1.6*($K$2/100+1)</f>
        <v>541.21731839999995</v>
      </c>
      <c r="G595" s="737">
        <f>'Аксессуары (2)'!G595*1.6*($K$2/100+1)</f>
        <v>590.41889279999998</v>
      </c>
      <c r="H595" s="740">
        <f>'Аксессуары (2)'!H595*1.8*($K$2/100+1)</f>
        <v>922.52951999999993</v>
      </c>
      <c r="I595" s="740">
        <f>'Аксессуары (2)'!J595*1.5*($K$2/100+1)</f>
        <v>1153.1618999999998</v>
      </c>
      <c r="J595" s="741">
        <f>'Аксессуары (2)'!J595*1.8*($K$2/100+1)</f>
        <v>1383.7942799999998</v>
      </c>
    </row>
    <row r="596" spans="1:10" ht="14.95" customHeight="1">
      <c r="A596" s="424" t="s">
        <v>510</v>
      </c>
      <c r="B596" s="737">
        <f>'Аксессуары (2)'!B596*1.3*($K$2/100+1)</f>
        <v>306.49776300000002</v>
      </c>
      <c r="C596" s="737">
        <f>'Аксессуары (2)'!C596*1.3*($K$2/100+1)</f>
        <v>340.55306999999999</v>
      </c>
      <c r="D596" s="737">
        <f>'Аксессуары (2)'!D596*1.3*($K$2/100+1)</f>
        <v>374.60837700000002</v>
      </c>
      <c r="E596" s="737">
        <f>'Аксессуары (2)'!E596*1.6*($K$2/100+1)</f>
        <v>502.97068799999994</v>
      </c>
      <c r="F596" s="737">
        <f>'Аксессуары (2)'!F596*1.6*($K$2/100+1)</f>
        <v>553.26775680000003</v>
      </c>
      <c r="G596" s="737">
        <f>'Аксессуары (2)'!G596*1.6*($K$2/100+1)</f>
        <v>603.56482559999995</v>
      </c>
      <c r="H596" s="740">
        <f>'Аксессуары (2)'!H596*1.8*($K$2/100+1)</f>
        <v>943.07003999999995</v>
      </c>
      <c r="I596" s="740">
        <f>'Аксессуары (2)'!J596*1.5*($K$2/100+1)</f>
        <v>1178.83755</v>
      </c>
      <c r="J596" s="741">
        <f>'Аксессуары (2)'!J596*1.8*($K$2/100+1)</f>
        <v>1414.6050599999999</v>
      </c>
    </row>
    <row r="597" spans="1:10" ht="14.95" customHeight="1">
      <c r="A597" s="424" t="s">
        <v>511</v>
      </c>
      <c r="B597" s="737">
        <f>'Аксессуары (2)'!B597*1.3*($K$2/100+1)</f>
        <v>316.33559099999997</v>
      </c>
      <c r="C597" s="737">
        <f>'Аксессуары (2)'!C597*1.3*($K$2/100+1)</f>
        <v>351.48399000000001</v>
      </c>
      <c r="D597" s="737">
        <f>'Аксессуары (2)'!D597*1.3*($K$2/100+1)</f>
        <v>386.63238899999999</v>
      </c>
      <c r="E597" s="737">
        <f>'Аксессуары (2)'!E597*1.6*($K$2/100+1)</f>
        <v>519.11481600000002</v>
      </c>
      <c r="F597" s="737">
        <f>'Аксессуары (2)'!F597*1.6*($K$2/100+1)</f>
        <v>571.02629760000002</v>
      </c>
      <c r="G597" s="737">
        <f>'Аксессуары (2)'!G597*1.6*($K$2/100+1)</f>
        <v>622.93777920000002</v>
      </c>
      <c r="H597" s="740">
        <f>'Аксессуары (2)'!H597*1.8*($K$2/100+1)</f>
        <v>973.34027999999989</v>
      </c>
      <c r="I597" s="740">
        <f>'Аксессуары (2)'!J597*1.5*($K$2/100+1)</f>
        <v>1216.67535</v>
      </c>
      <c r="J597" s="741">
        <f>'Аксессуары (2)'!J597*1.8*($K$2/100+1)</f>
        <v>1460.0104200000001</v>
      </c>
    </row>
    <row r="598" spans="1:10" ht="14.95" customHeight="1">
      <c r="A598" s="424" t="s">
        <v>512</v>
      </c>
      <c r="B598" s="737">
        <f>'Аксессуары (2)'!B598*1.3*($K$2/100+1)</f>
        <v>327.75449849999995</v>
      </c>
      <c r="C598" s="737">
        <f>'Аксессуары (2)'!C598*1.3*($K$2/100+1)</f>
        <v>364.17166499999996</v>
      </c>
      <c r="D598" s="737">
        <f>'Аксессуары (2)'!D598*1.3*($K$2/100+1)</f>
        <v>400.58883150000003</v>
      </c>
      <c r="E598" s="737">
        <f>'Аксессуары (2)'!E598*1.6*($K$2/100+1)</f>
        <v>537.85353599999996</v>
      </c>
      <c r="F598" s="737">
        <f>'Аксессуары (2)'!F598*1.6*($K$2/100+1)</f>
        <v>591.63888960000008</v>
      </c>
      <c r="G598" s="737">
        <f>'Аксессуары (2)'!G598*1.6*($K$2/100+1)</f>
        <v>645.42424319999998</v>
      </c>
      <c r="H598" s="740">
        <f>'Аксессуары (2)'!H598*1.8*($K$2/100+1)</f>
        <v>1008.4753799999999</v>
      </c>
      <c r="I598" s="740">
        <f>'Аксессуары (2)'!J598*1.5*($K$2/100+1)</f>
        <v>1260.5942249999998</v>
      </c>
      <c r="J598" s="741">
        <f>'Аксессуары (2)'!J598*1.8*($K$2/100+1)</f>
        <v>1512.7130699999998</v>
      </c>
    </row>
    <row r="599" spans="1:10" ht="14.95" customHeight="1">
      <c r="A599" s="424" t="s">
        <v>513</v>
      </c>
      <c r="B599" s="737">
        <f>'Аксессуары (2)'!B599*1.3*($K$2/100+1)</f>
        <v>331.26800849999995</v>
      </c>
      <c r="C599" s="737">
        <f>'Аксессуары (2)'!C599*1.3*($K$2/100+1)</f>
        <v>368.07556499999993</v>
      </c>
      <c r="D599" s="737">
        <f>'Аксессуары (2)'!D599*1.3*($K$2/100+1)</f>
        <v>404.88312150000002</v>
      </c>
      <c r="E599" s="737">
        <f>'Аксессуары (2)'!E599*1.6*($K$2/100+1)</f>
        <v>543.61929599999996</v>
      </c>
      <c r="F599" s="737">
        <f>'Аксессуары (2)'!F599*1.6*($K$2/100+1)</f>
        <v>597.98122560000002</v>
      </c>
      <c r="G599" s="737">
        <f>'Аксессуары (2)'!G599*1.6*($K$2/100+1)</f>
        <v>652.34315519999996</v>
      </c>
      <c r="H599" s="740">
        <f>'Аксессуары (2)'!H599*1.8*($K$2/100+1)</f>
        <v>1019.2861799999999</v>
      </c>
      <c r="I599" s="740">
        <f>'Аксессуары (2)'!J599*1.5*($K$2/100+1)</f>
        <v>1274.1077249999998</v>
      </c>
      <c r="J599" s="741">
        <f>'Аксессуары (2)'!J599*1.8*($K$2/100+1)</f>
        <v>1528.9292699999999</v>
      </c>
    </row>
    <row r="600" spans="1:10" ht="14.95" customHeight="1">
      <c r="A600" s="424" t="s">
        <v>514</v>
      </c>
      <c r="B600" s="737">
        <f>'Аксессуары (2)'!B600*1.3*($K$2/100+1)</f>
        <v>325.99774349999996</v>
      </c>
      <c r="C600" s="737">
        <f>'Аксессуары (2)'!C600*1.3*($K$2/100+1)</f>
        <v>362.21971499999995</v>
      </c>
      <c r="D600" s="737">
        <f>'Аксессуары (2)'!D600*1.3*($K$2/100+1)</f>
        <v>398.4416865</v>
      </c>
      <c r="E600" s="737">
        <f>'Аксессуары (2)'!E600*1.6*($K$2/100+1)</f>
        <v>534.97065599999996</v>
      </c>
      <c r="F600" s="737">
        <f>'Аксессуары (2)'!F600*1.6*($K$2/100+1)</f>
        <v>588.4677216</v>
      </c>
      <c r="G600" s="737">
        <f>'Аксессуары (2)'!G600*1.6*($K$2/100+1)</f>
        <v>641.96478719999993</v>
      </c>
      <c r="H600" s="740">
        <f>'Аксессуары (2)'!H600*1.8*($K$2/100+1)</f>
        <v>1003.06998</v>
      </c>
      <c r="I600" s="740">
        <f>'Аксессуары (2)'!J600*1.5*($K$2/100+1)</f>
        <v>1253.8374749999998</v>
      </c>
      <c r="J600" s="741">
        <f>'Аксессуары (2)'!J600*1.8*($K$2/100+1)</f>
        <v>1504.6049699999999</v>
      </c>
    </row>
    <row r="601" spans="1:10" ht="14.95" customHeight="1">
      <c r="A601" s="424" t="s">
        <v>515</v>
      </c>
      <c r="B601" s="737">
        <f>'Аксессуары (2)'!B601*1.3*($K$2/100+1)</f>
        <v>350.59231349999999</v>
      </c>
      <c r="C601" s="737">
        <f>'Аксессуары (2)'!C601*1.3*($K$2/100+1)</f>
        <v>389.54701499999999</v>
      </c>
      <c r="D601" s="737">
        <f>'Аксессуары (2)'!D601*1.3*($K$2/100+1)</f>
        <v>428.50171649999999</v>
      </c>
      <c r="E601" s="737">
        <f>'Аксессуары (2)'!E601*1.6*($K$2/100+1)</f>
        <v>575.33097599999996</v>
      </c>
      <c r="F601" s="737">
        <f>'Аксессуары (2)'!F601*1.6*($K$2/100+1)</f>
        <v>632.8640736000001</v>
      </c>
      <c r="G601" s="737">
        <f>'Аксессуары (2)'!G601*1.6*($K$2/100+1)</f>
        <v>690.3971712</v>
      </c>
      <c r="H601" s="740">
        <f>'Аксессуары (2)'!H601*1.8*($K$2/100+1)</f>
        <v>1078.74558</v>
      </c>
      <c r="I601" s="740">
        <f>'Аксессуары (2)'!J601*1.5*($K$2/100+1)</f>
        <v>1348.4319750000002</v>
      </c>
      <c r="J601" s="741">
        <f>'Аксессуары (2)'!J601*1.8*($K$2/100+1)</f>
        <v>1618.1183699999999</v>
      </c>
    </row>
    <row r="602" spans="1:10" ht="14.95" customHeight="1">
      <c r="A602" s="424" t="s">
        <v>516</v>
      </c>
      <c r="B602" s="737">
        <f>'Аксессуары (2)'!B602*1.3*($K$2/100+1)</f>
        <v>345.49772400000006</v>
      </c>
      <c r="C602" s="737">
        <f>'Аксессуары (2)'!C602*1.3*($K$2/100+1)</f>
        <v>383.88636000000002</v>
      </c>
      <c r="D602" s="737">
        <f>'Аксессуары (2)'!D602*1.3*($K$2/100+1)</f>
        <v>422.27499600000004</v>
      </c>
      <c r="E602" s="737">
        <f>'Аксессуары (2)'!E602*1.6*($K$2/100+1)</f>
        <v>566.97062400000004</v>
      </c>
      <c r="F602" s="737">
        <f>'Аксессуары (2)'!F602*1.6*($K$2/100+1)</f>
        <v>623.66768640000009</v>
      </c>
      <c r="G602" s="737">
        <f>'Аксессуары (2)'!G602*1.6*($K$2/100+1)</f>
        <v>680.36474880000014</v>
      </c>
      <c r="H602" s="740">
        <f>'Аксессуары (2)'!H602*1.8*($K$2/100+1)</f>
        <v>1063.0699200000001</v>
      </c>
      <c r="I602" s="740">
        <f>'Аксессуары (2)'!J602*1.5*($K$2/100+1)</f>
        <v>1328.8373999999999</v>
      </c>
      <c r="J602" s="741">
        <f>'Аксессуары (2)'!J602*1.8*($K$2/100+1)</f>
        <v>1594.6048799999999</v>
      </c>
    </row>
    <row r="603" spans="1:10" ht="14.95" customHeight="1">
      <c r="A603" s="424" t="s">
        <v>517</v>
      </c>
      <c r="B603" s="737">
        <f>'Аксессуары (2)'!B603*1.3*($K$2/100+1)</f>
        <v>367.28148600000003</v>
      </c>
      <c r="C603" s="737">
        <f>'Аксессуары (2)'!C603*1.3*($K$2/100+1)</f>
        <v>408.09054000000003</v>
      </c>
      <c r="D603" s="737">
        <f>'Аксессуары (2)'!D603*1.3*($K$2/100+1)</f>
        <v>448.89959400000009</v>
      </c>
      <c r="E603" s="737">
        <f>'Аксессуары (2)'!E603*1.6*($K$2/100+1)</f>
        <v>602.71833600000002</v>
      </c>
      <c r="F603" s="737">
        <f>'Аксессуары (2)'!F603*1.6*($K$2/100+1)</f>
        <v>662.99016959999994</v>
      </c>
      <c r="G603" s="737">
        <f>'Аксессуары (2)'!G603*1.6*($K$2/100+1)</f>
        <v>723.26200319999987</v>
      </c>
      <c r="H603" s="740">
        <f>'Аксессуары (2)'!H603*1.8*($K$2/100+1)</f>
        <v>1130.0968800000001</v>
      </c>
      <c r="I603" s="740">
        <f>'Аксессуары (2)'!J603*1.5*($K$2/100+1)</f>
        <v>1412.6211000000001</v>
      </c>
      <c r="J603" s="741">
        <f>'Аксессуары (2)'!J603*1.8*($K$2/100+1)</f>
        <v>1695.1453200000001</v>
      </c>
    </row>
    <row r="604" spans="1:10" ht="14.95" customHeight="1">
      <c r="A604" s="424" t="s">
        <v>518</v>
      </c>
      <c r="B604" s="737">
        <f>'Аксессуары (2)'!B604*1.3*($K$2/100+1)</f>
        <v>368.33553899999998</v>
      </c>
      <c r="C604" s="737">
        <f>'Аксессуары (2)'!C604*1.3*($K$2/100+1)</f>
        <v>409.26170999999999</v>
      </c>
      <c r="D604" s="737">
        <f>'Аксессуары (2)'!D604*1.3*($K$2/100+1)</f>
        <v>450.18788099999995</v>
      </c>
      <c r="E604" s="737">
        <f>'Аксессуары (2)'!E604*1.6*($K$2/100+1)</f>
        <v>604.44806399999993</v>
      </c>
      <c r="F604" s="737">
        <f>'Аксессуары (2)'!F604*1.6*($K$2/100+1)</f>
        <v>664.89287039999999</v>
      </c>
      <c r="G604" s="737">
        <f>'Аксессуары (2)'!G604*1.6*($K$2/100+1)</f>
        <v>725.33767679999983</v>
      </c>
      <c r="H604" s="740">
        <f>'Аксессуары (2)'!H604*1.8*($K$2/100+1)</f>
        <v>1133.3401199999998</v>
      </c>
      <c r="I604" s="740">
        <f>'Аксессуары (2)'!J604*1.5*($K$2/100+1)</f>
        <v>1416.67515</v>
      </c>
      <c r="J604" s="741">
        <f>'Аксессуары (2)'!J604*1.8*($K$2/100+1)</f>
        <v>1700.0101800000002</v>
      </c>
    </row>
    <row r="605" spans="1:10" ht="14.95" customHeight="1" thickBot="1">
      <c r="A605" s="425" t="s">
        <v>519</v>
      </c>
      <c r="B605" s="737">
        <f>'Аксессуары (2)'!B605*1.3*($K$2/100+1)</f>
        <v>364.9977045</v>
      </c>
      <c r="C605" s="737">
        <f>'Аксессуары (2)'!C605*1.3*($K$2/100+1)</f>
        <v>405.55300500000004</v>
      </c>
      <c r="D605" s="737">
        <f>'Аксессуары (2)'!D605*1.3*($K$2/100+1)</f>
        <v>446.10830550000009</v>
      </c>
      <c r="E605" s="737">
        <f>'Аксессуары (2)'!E605*1.6*($K$2/100+1)</f>
        <v>598.97059200000001</v>
      </c>
      <c r="F605" s="737">
        <f>'Аксессуары (2)'!F605*1.6*($K$2/100+1)</f>
        <v>658.86765120000007</v>
      </c>
      <c r="G605" s="737">
        <f>'Аксессуары (2)'!G605*1.6*($K$2/100+1)</f>
        <v>718.76471040000013</v>
      </c>
      <c r="H605" s="742">
        <f>'Аксессуары (2)'!H605*1.8*($K$2/100+1)</f>
        <v>1123.0698600000001</v>
      </c>
      <c r="I605" s="742">
        <f>'Аксессуары (2)'!J605*1.5*($K$2/100+1)</f>
        <v>1403.8373250000002</v>
      </c>
      <c r="J605" s="743">
        <f>'Аксессуары (2)'!J605*1.8*($K$2/100+1)</f>
        <v>1684.6047900000001</v>
      </c>
    </row>
    <row r="606" spans="1:10" s="254" customFormat="1" ht="14.95" customHeight="1" thickBot="1">
      <c r="A606" s="615" t="s">
        <v>2163</v>
      </c>
      <c r="B606" s="842"/>
      <c r="C606" s="843"/>
      <c r="D606" s="843"/>
      <c r="E606" s="843"/>
      <c r="F606" s="843"/>
      <c r="G606" s="843"/>
      <c r="H606" s="843"/>
      <c r="I606" s="843"/>
      <c r="J606" s="844"/>
    </row>
    <row r="607" spans="1:10" ht="14.95" customHeight="1">
      <c r="A607" s="413" t="s">
        <v>520</v>
      </c>
      <c r="B607" s="737">
        <f>'Аксессуары (2)'!B607*1.3*($K$2/100+1)</f>
        <v>81.621539999999996</v>
      </c>
      <c r="C607" s="737">
        <f>'Аксессуары (2)'!C607*1.3*($K$2/100+1)</f>
        <v>90.690600000000003</v>
      </c>
      <c r="D607" s="737">
        <f>'Аксессуары (2)'!D607*1.3*($K$2/100+1)</f>
        <v>99.759660000000011</v>
      </c>
      <c r="E607" s="737">
        <f>'Аксессуары (2)'!E607*1.6*($K$2/100+1)</f>
        <v>133.94304</v>
      </c>
      <c r="F607" s="737">
        <f>'Аксессуары (2)'!F607*1.6*($K$2/100+1)</f>
        <v>147.33734400000003</v>
      </c>
      <c r="G607" s="737">
        <f>'Аксессуары (2)'!G607*1.6*($K$2/100+1)</f>
        <v>160.73164799999998</v>
      </c>
      <c r="H607" s="738">
        <f>'Аксессуары (2)'!H607*1.8*($K$2/100+1)</f>
        <v>251.14319999999998</v>
      </c>
      <c r="I607" s="738">
        <f>'Аксессуары (2)'!J607*1.48*($K$2/100+1)</f>
        <v>309.74327999999997</v>
      </c>
      <c r="J607" s="739">
        <f>'Аксессуары (2)'!J607*1.8*($K$2/100+1)</f>
        <v>376.71480000000003</v>
      </c>
    </row>
    <row r="608" spans="1:10" ht="14.95" customHeight="1">
      <c r="A608" s="424" t="s">
        <v>521</v>
      </c>
      <c r="B608" s="737">
        <f>'Аксессуары (2)'!B608*1.3*($K$2/100+1)</f>
        <v>83.378295000000008</v>
      </c>
      <c r="C608" s="737">
        <f>'Аксессуары (2)'!C608*1.3*($K$2/100+1)</f>
        <v>92.642549999999986</v>
      </c>
      <c r="D608" s="737">
        <f>'Аксессуары (2)'!D608*1.3*($K$2/100+1)</f>
        <v>101.90680500000001</v>
      </c>
      <c r="E608" s="737">
        <f>'Аксессуары (2)'!E608*1.6*($K$2/100+1)</f>
        <v>136.82592</v>
      </c>
      <c r="F608" s="737">
        <f>'Аксессуары (2)'!F608*1.6*($K$2/100+1)</f>
        <v>150.508512</v>
      </c>
      <c r="G608" s="737">
        <f>'Аксессуары (2)'!G608*1.6*($K$2/100+1)</f>
        <v>164.19110399999997</v>
      </c>
      <c r="H608" s="740">
        <f>'Аксессуары (2)'!H608*1.8*($K$2/100+1)</f>
        <v>256.54860000000002</v>
      </c>
      <c r="I608" s="740">
        <f>'Аксессуары (2)'!J608*1.48*($K$2/100+1)</f>
        <v>316.40994000000001</v>
      </c>
      <c r="J608" s="741">
        <f>'Аксессуары (2)'!J608*1.8*($K$2/100+1)</f>
        <v>384.8229</v>
      </c>
    </row>
    <row r="609" spans="1:10" ht="14.95" customHeight="1">
      <c r="A609" s="424" t="s">
        <v>522</v>
      </c>
      <c r="B609" s="737">
        <f>'Аксессуары (2)'!B609*1.3*($K$2/100+1)</f>
        <v>88.121533499999998</v>
      </c>
      <c r="C609" s="737">
        <f>'Аксессуары (2)'!C609*1.3*($K$2/100+1)</f>
        <v>97.912814999999995</v>
      </c>
      <c r="D609" s="737">
        <f>'Аксессуары (2)'!D609*1.3*($K$2/100+1)</f>
        <v>107.70409649999999</v>
      </c>
      <c r="E609" s="737">
        <f>'Аксессуары (2)'!E609*1.6*($K$2/100+1)</f>
        <v>144.60969599999999</v>
      </c>
      <c r="F609" s="737">
        <f>'Аксессуары (2)'!F609*1.6*($K$2/100+1)</f>
        <v>159.07066559999998</v>
      </c>
      <c r="G609" s="737">
        <f>'Аксессуары (2)'!G609*1.6*($K$2/100+1)</f>
        <v>173.53163519999998</v>
      </c>
      <c r="H609" s="740">
        <f>'Аксессуары (2)'!H609*1.8*($K$2/100+1)</f>
        <v>271.14317999999997</v>
      </c>
      <c r="I609" s="740">
        <f>'Аксессуары (2)'!J609*1.48*($K$2/100+1)</f>
        <v>334.40992199999999</v>
      </c>
      <c r="J609" s="741">
        <f>'Аксессуары (2)'!J609*1.8*($K$2/100+1)</f>
        <v>406.71476999999999</v>
      </c>
    </row>
    <row r="610" spans="1:10" ht="14.95" customHeight="1">
      <c r="A610" s="424" t="s">
        <v>523</v>
      </c>
      <c r="B610" s="737">
        <f>'Аксессуары (2)'!B610*1.3*($K$2/100+1)</f>
        <v>111.48637500000001</v>
      </c>
      <c r="C610" s="737">
        <f>'Аксессуары (2)'!C610*1.3*($K$2/100+1)</f>
        <v>123.87375</v>
      </c>
      <c r="D610" s="737">
        <f>'Аксессуары (2)'!D610*1.3*($K$2/100+1)</f>
        <v>136.26112500000002</v>
      </c>
      <c r="E610" s="737">
        <f>'Аксессуары (2)'!E610*1.6*($K$2/100+1)</f>
        <v>182.95199999999997</v>
      </c>
      <c r="F610" s="737">
        <f>'Аксессуары (2)'!F610*1.6*($K$2/100+1)</f>
        <v>201.24720000000002</v>
      </c>
      <c r="G610" s="737">
        <f>'Аксессуары (2)'!G610*1.6*($K$2/100+1)</f>
        <v>219.54240000000001</v>
      </c>
      <c r="H610" s="740">
        <f>'Аксессуары (2)'!H610*1.8*($K$2/100+1)</f>
        <v>343.03499999999997</v>
      </c>
      <c r="I610" s="740">
        <f>'Аксессуары (2)'!J610*1.48*($K$2/100+1)</f>
        <v>423.07650000000001</v>
      </c>
      <c r="J610" s="741">
        <f>'Аксессуары (2)'!J610*1.8*($K$2/100+1)</f>
        <v>514.55250000000001</v>
      </c>
    </row>
    <row r="611" spans="1:10" ht="14.95" customHeight="1">
      <c r="A611" s="424" t="s">
        <v>524</v>
      </c>
      <c r="B611" s="737">
        <f>'Аксессуары (2)'!B611*1.3*($K$2/100+1)</f>
        <v>122.72960699999999</v>
      </c>
      <c r="C611" s="737">
        <f>'Аксессуары (2)'!C611*1.3*($K$2/100+1)</f>
        <v>136.36622999999997</v>
      </c>
      <c r="D611" s="737">
        <f>'Аксессуары (2)'!D611*1.3*($K$2/100+1)</f>
        <v>150.00285299999999</v>
      </c>
      <c r="E611" s="737">
        <f>'Аксессуары (2)'!E611*1.6*($K$2/100+1)</f>
        <v>201.40243199999998</v>
      </c>
      <c r="F611" s="737">
        <f>'Аксессуары (2)'!F611*1.6*($K$2/100+1)</f>
        <v>221.54267519999996</v>
      </c>
      <c r="G611" s="737">
        <f>'Аксессуары (2)'!G611*1.6*($K$2/100+1)</f>
        <v>241.68291839999998</v>
      </c>
      <c r="H611" s="740">
        <f>'Аксессуары (2)'!H611*1.8*($K$2/100+1)</f>
        <v>377.62955999999997</v>
      </c>
      <c r="I611" s="740">
        <f>'Аксессуары (2)'!J611*1.48*($K$2/100+1)</f>
        <v>465.74312399999997</v>
      </c>
      <c r="J611" s="741">
        <f>'Аксессуары (2)'!J611*1.8*($K$2/100+1)</f>
        <v>566.44434000000001</v>
      </c>
    </row>
    <row r="612" spans="1:10" ht="14.95" customHeight="1">
      <c r="A612" s="424" t="s">
        <v>525</v>
      </c>
      <c r="B612" s="737">
        <f>'Аксессуары (2)'!B612*1.3*($K$2/100+1)</f>
        <v>129.05392499999999</v>
      </c>
      <c r="C612" s="737">
        <f>'Аксессуары (2)'!C612*1.3*($K$2/100+1)</f>
        <v>143.39324999999999</v>
      </c>
      <c r="D612" s="737">
        <f>'Аксессуары (2)'!D612*1.3*($K$2/100+1)</f>
        <v>157.732575</v>
      </c>
      <c r="E612" s="737">
        <f>'Аксессуары (2)'!E612*1.6*($K$2/100+1)</f>
        <v>211.78079999999994</v>
      </c>
      <c r="F612" s="737">
        <f>'Аксессуары (2)'!F612*1.6*($K$2/100+1)</f>
        <v>232.95887999999997</v>
      </c>
      <c r="G612" s="737">
        <f>'Аксессуары (2)'!G612*1.6*($K$2/100+1)</f>
        <v>254.13695999999996</v>
      </c>
      <c r="H612" s="740">
        <f>'Аксессуары (2)'!H612*1.8*($K$2/100+1)</f>
        <v>397.089</v>
      </c>
      <c r="I612" s="740">
        <f>'Аксессуары (2)'!J612*1.48*($K$2/100+1)</f>
        <v>489.74309999999991</v>
      </c>
      <c r="J612" s="741">
        <f>'Аксессуары (2)'!J612*1.8*($K$2/100+1)</f>
        <v>595.63349999999991</v>
      </c>
    </row>
    <row r="613" spans="1:10" ht="14.95" customHeight="1">
      <c r="A613" s="424" t="s">
        <v>526</v>
      </c>
      <c r="B613" s="737">
        <f>'Аксессуары (2)'!B613*1.3*($K$2/100+1)</f>
        <v>132.74311049999997</v>
      </c>
      <c r="C613" s="737">
        <f>'Аксессуары (2)'!C613*1.3*($K$2/100+1)</f>
        <v>147.49234499999997</v>
      </c>
      <c r="D613" s="737">
        <f>'Аксессуары (2)'!D613*1.3*($K$2/100+1)</f>
        <v>162.2415795</v>
      </c>
      <c r="E613" s="737">
        <f>'Аксессуары (2)'!E613*1.6*($K$2/100+1)</f>
        <v>217.83484799999999</v>
      </c>
      <c r="F613" s="737">
        <f>'Аксессуары (2)'!F613*1.6*($K$2/100+1)</f>
        <v>239.61833280000002</v>
      </c>
      <c r="G613" s="737">
        <f>'Аксессуары (2)'!G613*1.6*($K$2/100+1)</f>
        <v>261.40181759999996</v>
      </c>
      <c r="H613" s="740">
        <f>'Аксессуары (2)'!H613*1.8*($K$2/100+1)</f>
        <v>408.44033999999994</v>
      </c>
      <c r="I613" s="740">
        <f>'Аксессуары (2)'!J613*1.48*($K$2/100+1)</f>
        <v>503.74308599999995</v>
      </c>
      <c r="J613" s="741">
        <f>'Аксессуары (2)'!J613*1.8*($K$2/100+1)</f>
        <v>612.66050999999993</v>
      </c>
    </row>
    <row r="614" spans="1:10" ht="14.95" customHeight="1">
      <c r="A614" s="424" t="s">
        <v>527</v>
      </c>
      <c r="B614" s="737">
        <f>'Аксессуары (2)'!B614*1.3*($K$2/100+1)</f>
        <v>105.6890835</v>
      </c>
      <c r="C614" s="737">
        <f>'Аксессуары (2)'!C614*1.3*($K$2/100+1)</f>
        <v>117.43231499999999</v>
      </c>
      <c r="D614" s="737">
        <f>'Аксессуары (2)'!D614*1.3*($K$2/100+1)</f>
        <v>129.1755465</v>
      </c>
      <c r="E614" s="737">
        <f>'Аксессуары (2)'!E614*1.6*($K$2/100+1)</f>
        <v>173.43849599999999</v>
      </c>
      <c r="F614" s="737">
        <f>'Аксессуары (2)'!F614*1.6*($K$2/100+1)</f>
        <v>190.78234560000001</v>
      </c>
      <c r="G614" s="737">
        <f>'Аксессуары (2)'!G614*1.6*($K$2/100+1)</f>
        <v>208.12619520000001</v>
      </c>
      <c r="H614" s="740">
        <f>'Аксессуары (2)'!H614*1.8*($K$2/100+1)</f>
        <v>325.19718</v>
      </c>
      <c r="I614" s="740">
        <f>'Аксессуары (2)'!J614*1.48*($K$2/100+1)</f>
        <v>401.07652199999995</v>
      </c>
      <c r="J614" s="741">
        <f>'Аксессуары (2)'!J614*1.8*($K$2/100+1)</f>
        <v>487.79577</v>
      </c>
    </row>
    <row r="615" spans="1:10" ht="14.95" customHeight="1">
      <c r="A615" s="424" t="s">
        <v>528</v>
      </c>
      <c r="B615" s="737">
        <f>'Аксессуары (2)'!B615*1.3*($K$2/100+1)</f>
        <v>105.3377325</v>
      </c>
      <c r="C615" s="737">
        <f>'Аксессуары (2)'!C615*1.3*($K$2/100+1)</f>
        <v>117.04192499999999</v>
      </c>
      <c r="D615" s="737">
        <f>'Аксессуары (2)'!D615*1.3*($K$2/100+1)</f>
        <v>128.7461175</v>
      </c>
      <c r="E615" s="737">
        <f>'Аксессуары (2)'!E615*1.6*($K$2/100+1)</f>
        <v>172.86191999999997</v>
      </c>
      <c r="F615" s="737">
        <f>'Аксессуары (2)'!F615*1.6*($K$2/100+1)</f>
        <v>190.14811200000003</v>
      </c>
      <c r="G615" s="737">
        <f>'Аксессуары (2)'!G615*1.6*($K$2/100+1)</f>
        <v>207.43430399999997</v>
      </c>
      <c r="H615" s="740">
        <f>'Аксессуары (2)'!H615*1.8*($K$2/100+1)</f>
        <v>324.11609999999996</v>
      </c>
      <c r="I615" s="740">
        <f>'Аксессуары (2)'!J615*1.48*($K$2/100+1)</f>
        <v>399.74318999999997</v>
      </c>
      <c r="J615" s="741">
        <f>'Аксессуары (2)'!J615*1.8*($K$2/100+1)</f>
        <v>486.17415</v>
      </c>
    </row>
    <row r="616" spans="1:10" ht="14.95" customHeight="1">
      <c r="A616" s="424" t="s">
        <v>529</v>
      </c>
      <c r="B616" s="737">
        <f>'Аксессуары (2)'!B616*1.3*($K$2/100+1)</f>
        <v>122.9052825</v>
      </c>
      <c r="C616" s="737">
        <f>'Аксессуары (2)'!C616*1.3*($K$2/100+1)</f>
        <v>136.56142499999999</v>
      </c>
      <c r="D616" s="737">
        <f>'Аксессуары (2)'!D616*1.3*($K$2/100+1)</f>
        <v>150.2175675</v>
      </c>
      <c r="E616" s="737">
        <f>'Аксессуары (2)'!E616*1.6*($K$2/100+1)</f>
        <v>201.69072</v>
      </c>
      <c r="F616" s="737">
        <f>'Аксессуары (2)'!F616*1.6*($K$2/100+1)</f>
        <v>221.85979200000003</v>
      </c>
      <c r="G616" s="737">
        <f>'Аксессуары (2)'!G616*1.6*($K$2/100+1)</f>
        <v>242.02886399999997</v>
      </c>
      <c r="H616" s="740">
        <f>'Аксессуары (2)'!H616*1.8*($K$2/100+1)</f>
        <v>378.17009999999993</v>
      </c>
      <c r="I616" s="740">
        <f>'Аксессуары (2)'!J616*1.48*($K$2/100+1)</f>
        <v>466.40978999999993</v>
      </c>
      <c r="J616" s="741">
        <f>'Аксессуары (2)'!J616*1.8*($K$2/100+1)</f>
        <v>567.25514999999996</v>
      </c>
    </row>
    <row r="617" spans="1:10" ht="14.95" customHeight="1">
      <c r="A617" s="424" t="s">
        <v>530</v>
      </c>
      <c r="B617" s="737">
        <f>'Аксессуары (2)'!B617*1.3*($K$2/100+1)</f>
        <v>140.47283249999998</v>
      </c>
      <c r="C617" s="737">
        <f>'Аксессуары (2)'!C617*1.3*($K$2/100+1)</f>
        <v>156.08092499999995</v>
      </c>
      <c r="D617" s="737">
        <f>'Аксессуары (2)'!D617*1.3*($K$2/100+1)</f>
        <v>171.68901749999998</v>
      </c>
      <c r="E617" s="737">
        <f>'Аксессуары (2)'!E617*1.6*($K$2/100+1)</f>
        <v>230.51951999999994</v>
      </c>
      <c r="F617" s="737">
        <f>'Аксессуары (2)'!F617*1.6*($K$2/100+1)</f>
        <v>253.57147199999991</v>
      </c>
      <c r="G617" s="737">
        <f>'Аксессуары (2)'!G617*1.6*($K$2/100+1)</f>
        <v>276.62342399999994</v>
      </c>
      <c r="H617" s="740">
        <f>'Аксессуары (2)'!H617*1.8*($K$2/100+1)</f>
        <v>432.22409999999991</v>
      </c>
      <c r="I617" s="740">
        <f>'Аксессуары (2)'!J617*1.48*($K$2/100+1)</f>
        <v>533.07638999999983</v>
      </c>
      <c r="J617" s="741">
        <f>'Аксессуары (2)'!J617*1.8*($K$2/100+1)</f>
        <v>648.33614999999986</v>
      </c>
    </row>
    <row r="618" spans="1:10" ht="14.95" customHeight="1">
      <c r="A618" s="616" t="s">
        <v>531</v>
      </c>
      <c r="B618" s="737">
        <f>'Аксессуары (2)'!B618*1.3*($K$2/100+1)</f>
        <v>158.04038250000005</v>
      </c>
      <c r="C618" s="737">
        <f>'Аксессуары (2)'!C618*1.3*($K$2/100+1)</f>
        <v>175.600425</v>
      </c>
      <c r="D618" s="737">
        <f>'Аксессуары (2)'!D618*1.3*($K$2/100+1)</f>
        <v>193.16046750000004</v>
      </c>
      <c r="E618" s="737">
        <f>'Аксессуары (2)'!E618*1.6*($K$2/100+1)</f>
        <v>259.34832000000006</v>
      </c>
      <c r="F618" s="737">
        <f>'Аксессуары (2)'!F618*1.6*($K$2/100+1)</f>
        <v>285.28315200000009</v>
      </c>
      <c r="G618" s="737">
        <f>'Аксессуары (2)'!G618*1.6*($K$2/100+1)</f>
        <v>311.21798400000006</v>
      </c>
      <c r="H618" s="740">
        <f>'Аксессуары (2)'!H618*1.8*($K$2/100+1)</f>
        <v>486.27810000000005</v>
      </c>
      <c r="I618" s="740">
        <f>'Аксессуары (2)'!J618*1.48*($K$2/100+1)</f>
        <v>599.74299000000008</v>
      </c>
      <c r="J618" s="744">
        <f>'Аксессуары (2)'!J618*1.8*($K$2/100+1)</f>
        <v>729.41715000000011</v>
      </c>
    </row>
    <row r="619" spans="1:10" ht="14.95" customHeight="1">
      <c r="A619" s="616" t="s">
        <v>532</v>
      </c>
      <c r="B619" s="737">
        <f>'Аксессуары (2)'!B619*1.3*($K$2/100+1)</f>
        <v>175.60793250000003</v>
      </c>
      <c r="C619" s="737">
        <f>'Аксессуары (2)'!C619*1.3*($K$2/100+1)</f>
        <v>195.11992499999999</v>
      </c>
      <c r="D619" s="737">
        <f>'Аксессуары (2)'!D619*1.3*($K$2/100+1)</f>
        <v>214.63191750000004</v>
      </c>
      <c r="E619" s="737">
        <f>'Аксессуары (2)'!E619*1.6*($K$2/100+1)</f>
        <v>288.17712</v>
      </c>
      <c r="F619" s="737">
        <f>'Аксессуары (2)'!F619*1.6*($K$2/100+1)</f>
        <v>316.99483200000003</v>
      </c>
      <c r="G619" s="737">
        <f>'Аксессуары (2)'!G619*1.6*($K$2/100+1)</f>
        <v>345.812544</v>
      </c>
      <c r="H619" s="740">
        <f>'Аксессуары (2)'!H619*1.8*($K$2/100+1)</f>
        <v>540.33210000000008</v>
      </c>
      <c r="I619" s="740">
        <f>'Аксессуары (2)'!J619*1.48*($K$2/100+1)</f>
        <v>666.40958999999998</v>
      </c>
      <c r="J619" s="744">
        <f>'Аксессуары (2)'!J619*1.8*($K$2/100+1)</f>
        <v>810.4981499999999</v>
      </c>
    </row>
    <row r="620" spans="1:10" ht="14.95" customHeight="1">
      <c r="A620" s="616" t="s">
        <v>533</v>
      </c>
      <c r="B620" s="737">
        <f>'Аксессуары (2)'!B620*1.3*($K$2/100+1)</f>
        <v>193.17548249999999</v>
      </c>
      <c r="C620" s="737">
        <f>'Аксессуары (2)'!C620*1.3*($K$2/100+1)</f>
        <v>214.63942499999996</v>
      </c>
      <c r="D620" s="737">
        <f>'Аксессуары (2)'!D620*1.3*($K$2/100+1)</f>
        <v>236.10336749999999</v>
      </c>
      <c r="E620" s="737">
        <f>'Аксессуары (2)'!E620*1.6*($K$2/100+1)</f>
        <v>317.00591999999995</v>
      </c>
      <c r="F620" s="737">
        <f>'Аксессуары (2)'!F620*1.6*($K$2/100+1)</f>
        <v>348.70651200000003</v>
      </c>
      <c r="G620" s="737">
        <f>'Аксессуары (2)'!G620*1.6*($K$2/100+1)</f>
        <v>380.40710399999995</v>
      </c>
      <c r="H620" s="740">
        <f>'Аксессуары (2)'!H620*1.8*($K$2/100+1)</f>
        <v>594.38609999999994</v>
      </c>
      <c r="I620" s="740">
        <f>'Аксессуары (2)'!J620*1.48*($K$2/100+1)</f>
        <v>733.07618999999988</v>
      </c>
      <c r="J620" s="744">
        <f>'Аксессуары (2)'!J620*1.8*($K$2/100+1)</f>
        <v>891.57914999999991</v>
      </c>
    </row>
    <row r="621" spans="1:10">
      <c r="A621" s="416"/>
      <c r="B621" s="256"/>
      <c r="C621" s="256"/>
      <c r="D621" s="256"/>
      <c r="E621" s="256"/>
      <c r="F621" s="256"/>
      <c r="G621" s="256"/>
      <c r="H621" s="258"/>
      <c r="I621" s="258"/>
      <c r="J621" s="352"/>
    </row>
    <row r="622" spans="1:10">
      <c r="A622" s="417"/>
      <c r="B622" s="256"/>
      <c r="C622" s="256"/>
      <c r="D622" s="256"/>
      <c r="E622" s="256"/>
      <c r="F622" s="256"/>
      <c r="G622" s="256"/>
      <c r="H622" s="258"/>
      <c r="I622" s="258"/>
      <c r="J622" s="352"/>
    </row>
    <row r="623" spans="1:10">
      <c r="A623" s="417"/>
      <c r="B623" s="256"/>
      <c r="C623" s="256"/>
      <c r="D623" s="256"/>
      <c r="E623" s="256"/>
      <c r="F623" s="256"/>
      <c r="G623" s="256"/>
      <c r="H623" s="258"/>
      <c r="I623" s="258"/>
      <c r="J623" s="352"/>
    </row>
    <row r="624" spans="1:10">
      <c r="A624" s="417"/>
      <c r="B624" s="256"/>
      <c r="C624" s="256"/>
      <c r="D624" s="256"/>
      <c r="E624" s="256"/>
      <c r="F624" s="256"/>
      <c r="G624" s="256"/>
      <c r="H624" s="258"/>
      <c r="I624" s="258"/>
      <c r="J624" s="352"/>
    </row>
    <row r="625" spans="1:10">
      <c r="A625" s="417"/>
      <c r="B625" s="256"/>
      <c r="C625" s="256"/>
      <c r="D625" s="256"/>
      <c r="E625" s="256"/>
      <c r="F625" s="256"/>
      <c r="G625" s="256"/>
      <c r="H625" s="258"/>
      <c r="I625" s="258"/>
      <c r="J625" s="352"/>
    </row>
    <row r="626" spans="1:10">
      <c r="A626" s="417"/>
      <c r="B626" s="256"/>
      <c r="C626" s="256"/>
      <c r="D626" s="256"/>
      <c r="E626" s="256"/>
      <c r="F626" s="256"/>
      <c r="G626" s="256"/>
      <c r="H626" s="258"/>
      <c r="I626" s="258"/>
      <c r="J626" s="352"/>
    </row>
    <row r="627" spans="1:10">
      <c r="A627" s="417"/>
      <c r="B627" s="256"/>
      <c r="C627" s="256"/>
      <c r="D627" s="256"/>
      <c r="E627" s="256"/>
      <c r="F627" s="256"/>
      <c r="G627" s="256"/>
      <c r="H627" s="258"/>
      <c r="I627" s="258"/>
      <c r="J627" s="352"/>
    </row>
    <row r="628" spans="1:10">
      <c r="A628" s="417"/>
      <c r="B628" s="256"/>
      <c r="C628" s="256"/>
      <c r="D628" s="256"/>
      <c r="E628" s="256"/>
      <c r="F628" s="256"/>
      <c r="G628" s="256"/>
      <c r="H628" s="258"/>
      <c r="I628" s="258"/>
      <c r="J628" s="352"/>
    </row>
    <row r="629" spans="1:10">
      <c r="A629" s="417"/>
      <c r="B629" s="256"/>
      <c r="C629" s="256"/>
      <c r="D629" s="256"/>
      <c r="E629" s="256"/>
      <c r="F629" s="256"/>
      <c r="G629" s="256"/>
      <c r="H629" s="258"/>
      <c r="I629" s="258"/>
      <c r="J629" s="352"/>
    </row>
    <row r="630" spans="1:10">
      <c r="A630" s="417"/>
      <c r="B630" s="256"/>
      <c r="C630" s="256"/>
      <c r="D630" s="256"/>
      <c r="E630" s="256"/>
      <c r="F630" s="256"/>
      <c r="G630" s="256"/>
      <c r="H630" s="258"/>
      <c r="I630" s="258"/>
      <c r="J630" s="352"/>
    </row>
    <row r="631" spans="1:10">
      <c r="A631" s="417"/>
      <c r="B631" s="256"/>
      <c r="C631" s="256"/>
      <c r="D631" s="256"/>
      <c r="E631" s="256"/>
      <c r="F631" s="256"/>
      <c r="G631" s="256"/>
      <c r="H631" s="258"/>
      <c r="I631" s="258"/>
      <c r="J631" s="352"/>
    </row>
    <row r="632" spans="1:10">
      <c r="A632" s="417"/>
      <c r="B632" s="256"/>
      <c r="C632" s="256"/>
      <c r="D632" s="256"/>
      <c r="E632" s="256"/>
      <c r="F632" s="256"/>
      <c r="G632" s="256"/>
      <c r="H632" s="258"/>
      <c r="I632" s="258"/>
      <c r="J632" s="352"/>
    </row>
    <row r="633" spans="1:10">
      <c r="A633" s="417"/>
      <c r="B633" s="256"/>
      <c r="C633" s="256"/>
      <c r="D633" s="256"/>
      <c r="E633" s="256"/>
      <c r="F633" s="256"/>
      <c r="G633" s="256"/>
      <c r="H633" s="258"/>
      <c r="I633" s="258"/>
      <c r="J633" s="352"/>
    </row>
    <row r="634" spans="1:10">
      <c r="A634" s="417"/>
      <c r="B634" s="256"/>
      <c r="C634" s="256"/>
      <c r="D634" s="256"/>
      <c r="E634" s="256"/>
      <c r="F634" s="256"/>
      <c r="G634" s="256"/>
      <c r="H634" s="258"/>
      <c r="I634" s="258"/>
      <c r="J634" s="352"/>
    </row>
    <row r="635" spans="1:10">
      <c r="A635" s="417"/>
      <c r="B635" s="256"/>
      <c r="C635" s="256"/>
      <c r="D635" s="256"/>
      <c r="E635" s="256"/>
      <c r="F635" s="256"/>
      <c r="G635" s="256"/>
      <c r="H635" s="258"/>
      <c r="I635" s="258"/>
      <c r="J635" s="352"/>
    </row>
    <row r="636" spans="1:10">
      <c r="A636" s="417"/>
      <c r="B636" s="256"/>
      <c r="C636" s="256"/>
      <c r="D636" s="256"/>
      <c r="E636" s="256"/>
      <c r="F636" s="256"/>
      <c r="G636" s="256"/>
      <c r="H636" s="258"/>
      <c r="I636" s="258"/>
      <c r="J636" s="352"/>
    </row>
    <row r="637" spans="1:10">
      <c r="A637" s="417"/>
      <c r="B637" s="256"/>
      <c r="C637" s="256"/>
      <c r="D637" s="256"/>
      <c r="E637" s="256"/>
      <c r="F637" s="256"/>
      <c r="G637" s="256"/>
      <c r="H637" s="258"/>
      <c r="I637" s="258"/>
      <c r="J637" s="352"/>
    </row>
    <row r="638" spans="1:10">
      <c r="A638" s="417"/>
      <c r="B638" s="256"/>
      <c r="C638" s="256"/>
      <c r="D638" s="256"/>
      <c r="E638" s="256"/>
      <c r="F638" s="256"/>
      <c r="G638" s="256"/>
      <c r="H638" s="258"/>
      <c r="I638" s="258"/>
      <c r="J638" s="352"/>
    </row>
    <row r="639" spans="1:10">
      <c r="A639" s="417"/>
      <c r="B639" s="256"/>
      <c r="C639" s="256"/>
      <c r="D639" s="256"/>
      <c r="E639" s="256"/>
      <c r="F639" s="256"/>
      <c r="G639" s="256"/>
      <c r="H639" s="258"/>
      <c r="I639" s="258"/>
      <c r="J639" s="352"/>
    </row>
    <row r="640" spans="1:10">
      <c r="A640" s="417"/>
      <c r="B640" s="256"/>
      <c r="C640" s="256"/>
      <c r="D640" s="256"/>
      <c r="E640" s="256"/>
      <c r="F640" s="256"/>
      <c r="G640" s="256"/>
      <c r="H640" s="258"/>
      <c r="I640" s="258"/>
      <c r="J640" s="352"/>
    </row>
    <row r="641" spans="1:10">
      <c r="A641" s="417"/>
      <c r="B641" s="256"/>
      <c r="C641" s="256"/>
      <c r="D641" s="256"/>
      <c r="E641" s="256"/>
      <c r="F641" s="256"/>
      <c r="G641" s="256"/>
      <c r="H641" s="258"/>
      <c r="I641" s="258"/>
      <c r="J641" s="352"/>
    </row>
    <row r="642" spans="1:10">
      <c r="A642" s="417"/>
      <c r="B642" s="256"/>
      <c r="C642" s="256"/>
      <c r="D642" s="256"/>
      <c r="E642" s="256"/>
      <c r="F642" s="256"/>
      <c r="G642" s="256"/>
      <c r="H642" s="258"/>
      <c r="I642" s="258"/>
      <c r="J642" s="352"/>
    </row>
    <row r="643" spans="1:10">
      <c r="A643" s="417"/>
      <c r="B643" s="256"/>
      <c r="C643" s="256"/>
      <c r="D643" s="256"/>
      <c r="E643" s="256"/>
      <c r="F643" s="256"/>
      <c r="G643" s="256"/>
      <c r="H643" s="258"/>
      <c r="I643" s="258"/>
      <c r="J643" s="352"/>
    </row>
    <row r="644" spans="1:10">
      <c r="A644" s="417"/>
      <c r="B644" s="256"/>
      <c r="C644" s="256"/>
      <c r="D644" s="256"/>
      <c r="E644" s="256"/>
      <c r="F644" s="256"/>
      <c r="G644" s="256"/>
      <c r="H644" s="258"/>
      <c r="I644" s="258"/>
      <c r="J644" s="352"/>
    </row>
    <row r="645" spans="1:10">
      <c r="A645" s="417"/>
      <c r="B645" s="256"/>
      <c r="C645" s="256"/>
      <c r="D645" s="256"/>
      <c r="E645" s="256"/>
      <c r="F645" s="256"/>
      <c r="G645" s="256"/>
      <c r="H645" s="258"/>
      <c r="I645" s="258"/>
      <c r="J645" s="352"/>
    </row>
    <row r="646" spans="1:10">
      <c r="A646" s="417"/>
      <c r="B646" s="256"/>
      <c r="C646" s="256"/>
      <c r="D646" s="256"/>
      <c r="E646" s="256"/>
      <c r="F646" s="256"/>
      <c r="G646" s="256"/>
      <c r="H646" s="258"/>
      <c r="I646" s="258"/>
      <c r="J646" s="352"/>
    </row>
    <row r="647" spans="1:10">
      <c r="A647" s="417"/>
      <c r="B647" s="256"/>
      <c r="C647" s="256"/>
      <c r="D647" s="256"/>
      <c r="E647" s="256"/>
      <c r="F647" s="256"/>
      <c r="G647" s="256"/>
      <c r="H647" s="258"/>
      <c r="I647" s="258"/>
      <c r="J647" s="352"/>
    </row>
    <row r="648" spans="1:10">
      <c r="A648" s="417"/>
      <c r="B648" s="256"/>
      <c r="C648" s="256"/>
      <c r="D648" s="256"/>
      <c r="E648" s="256"/>
      <c r="F648" s="256"/>
      <c r="G648" s="256"/>
      <c r="H648" s="258"/>
      <c r="I648" s="258"/>
      <c r="J648" s="352"/>
    </row>
    <row r="649" spans="1:10">
      <c r="A649" s="417"/>
      <c r="B649" s="256"/>
      <c r="C649" s="256"/>
      <c r="D649" s="256"/>
      <c r="E649" s="256"/>
      <c r="F649" s="256"/>
      <c r="G649" s="256"/>
      <c r="H649" s="258"/>
      <c r="I649" s="258"/>
      <c r="J649" s="352"/>
    </row>
    <row r="650" spans="1:10">
      <c r="A650" s="417"/>
      <c r="B650" s="256"/>
      <c r="C650" s="256"/>
      <c r="D650" s="256"/>
      <c r="E650" s="256"/>
      <c r="F650" s="256"/>
      <c r="G650" s="256"/>
      <c r="H650" s="258"/>
      <c r="I650" s="258"/>
      <c r="J650" s="352"/>
    </row>
    <row r="651" spans="1:10">
      <c r="A651" s="417"/>
      <c r="B651" s="256"/>
      <c r="C651" s="256"/>
      <c r="D651" s="256"/>
      <c r="E651" s="256"/>
      <c r="F651" s="256"/>
      <c r="G651" s="256"/>
      <c r="H651" s="258"/>
      <c r="I651" s="258"/>
      <c r="J651" s="352"/>
    </row>
    <row r="652" spans="1:10">
      <c r="A652" s="417"/>
      <c r="B652" s="256"/>
      <c r="C652" s="256"/>
      <c r="D652" s="256"/>
      <c r="E652" s="256"/>
      <c r="F652" s="256"/>
      <c r="G652" s="256"/>
      <c r="H652" s="258"/>
      <c r="I652" s="258"/>
      <c r="J652" s="352"/>
    </row>
    <row r="653" spans="1:10">
      <c r="A653" s="417"/>
      <c r="B653" s="256"/>
      <c r="C653" s="256"/>
      <c r="D653" s="256"/>
      <c r="E653" s="256"/>
      <c r="F653" s="256"/>
      <c r="G653" s="256"/>
      <c r="H653" s="258"/>
      <c r="I653" s="258"/>
      <c r="J653" s="352"/>
    </row>
    <row r="654" spans="1:10">
      <c r="A654" s="417"/>
      <c r="B654" s="256"/>
      <c r="C654" s="256"/>
      <c r="D654" s="256"/>
      <c r="E654" s="256"/>
      <c r="F654" s="256"/>
      <c r="G654" s="256"/>
      <c r="H654" s="258"/>
      <c r="I654" s="258"/>
      <c r="J654" s="352"/>
    </row>
    <row r="655" spans="1:10">
      <c r="A655" s="417"/>
      <c r="B655" s="256"/>
      <c r="C655" s="256"/>
      <c r="D655" s="256"/>
      <c r="E655" s="256"/>
      <c r="F655" s="256"/>
      <c r="G655" s="256"/>
      <c r="H655" s="258"/>
      <c r="I655" s="258"/>
      <c r="J655" s="352"/>
    </row>
    <row r="656" spans="1:10">
      <c r="A656" s="417"/>
      <c r="B656" s="256"/>
      <c r="C656" s="256"/>
      <c r="D656" s="256"/>
      <c r="E656" s="256"/>
      <c r="F656" s="256"/>
      <c r="G656" s="256"/>
      <c r="H656" s="258"/>
      <c r="I656" s="258"/>
      <c r="J656" s="352"/>
    </row>
    <row r="657" spans="1:10">
      <c r="A657" s="417"/>
      <c r="B657" s="256"/>
      <c r="C657" s="256"/>
      <c r="D657" s="256"/>
      <c r="E657" s="256"/>
      <c r="F657" s="256"/>
      <c r="G657" s="256"/>
      <c r="H657" s="258"/>
      <c r="I657" s="258"/>
      <c r="J657" s="352"/>
    </row>
    <row r="658" spans="1:10">
      <c r="A658" s="419"/>
      <c r="B658" s="256"/>
      <c r="C658" s="256"/>
      <c r="D658" s="256"/>
      <c r="E658" s="256"/>
      <c r="F658" s="256"/>
      <c r="G658" s="256"/>
      <c r="H658" s="258"/>
      <c r="I658" s="258"/>
      <c r="J658" s="352"/>
    </row>
    <row r="659" spans="1:10">
      <c r="A659" s="417"/>
      <c r="B659" s="256"/>
      <c r="C659" s="256"/>
      <c r="D659" s="256"/>
      <c r="E659" s="256"/>
      <c r="F659" s="256"/>
      <c r="G659" s="256"/>
      <c r="H659" s="258"/>
      <c r="I659" s="258"/>
      <c r="J659" s="352"/>
    </row>
    <row r="660" spans="1:10">
      <c r="A660" s="417"/>
      <c r="B660" s="256"/>
      <c r="C660" s="256"/>
      <c r="D660" s="256"/>
      <c r="E660" s="256"/>
      <c r="F660" s="256"/>
      <c r="G660" s="256"/>
      <c r="H660" s="258"/>
      <c r="I660" s="258"/>
      <c r="J660" s="352"/>
    </row>
    <row r="661" spans="1:10">
      <c r="A661" s="417"/>
      <c r="B661" s="256"/>
      <c r="C661" s="256"/>
      <c r="D661" s="256"/>
      <c r="E661" s="256"/>
      <c r="F661" s="256"/>
      <c r="G661" s="256"/>
      <c r="H661" s="258"/>
      <c r="I661" s="258"/>
      <c r="J661" s="352"/>
    </row>
    <row r="662" spans="1:10">
      <c r="A662" s="417"/>
      <c r="B662" s="256"/>
      <c r="C662" s="256"/>
      <c r="D662" s="256"/>
      <c r="E662" s="256"/>
      <c r="F662" s="256"/>
      <c r="G662" s="256"/>
      <c r="H662" s="258"/>
      <c r="I662" s="258"/>
      <c r="J662" s="352"/>
    </row>
    <row r="663" spans="1:10">
      <c r="A663" s="417"/>
      <c r="B663" s="256"/>
      <c r="C663" s="256"/>
      <c r="D663" s="256"/>
      <c r="E663" s="256"/>
      <c r="F663" s="256"/>
      <c r="G663" s="256"/>
      <c r="H663" s="258"/>
      <c r="I663" s="258"/>
      <c r="J663" s="352"/>
    </row>
    <row r="664" spans="1:10">
      <c r="A664" s="417"/>
      <c r="B664" s="256"/>
      <c r="C664" s="256"/>
      <c r="D664" s="256"/>
      <c r="E664" s="256"/>
      <c r="F664" s="256"/>
      <c r="G664" s="256"/>
      <c r="H664" s="258"/>
      <c r="I664" s="258"/>
      <c r="J664" s="352"/>
    </row>
    <row r="665" spans="1:10">
      <c r="A665" s="417"/>
      <c r="B665" s="256"/>
      <c r="C665" s="256"/>
      <c r="D665" s="256"/>
      <c r="E665" s="256"/>
      <c r="F665" s="256"/>
      <c r="G665" s="256"/>
      <c r="H665" s="258"/>
      <c r="I665" s="258"/>
      <c r="J665" s="352"/>
    </row>
    <row r="666" spans="1:10">
      <c r="A666" s="417"/>
      <c r="B666" s="256"/>
      <c r="C666" s="256"/>
      <c r="D666" s="256"/>
      <c r="E666" s="256"/>
      <c r="F666" s="256"/>
      <c r="G666" s="256"/>
      <c r="H666" s="258"/>
      <c r="I666" s="258"/>
      <c r="J666" s="352"/>
    </row>
    <row r="667" spans="1:10">
      <c r="A667" s="417"/>
      <c r="B667" s="256"/>
      <c r="C667" s="256"/>
      <c r="D667" s="256"/>
      <c r="E667" s="256"/>
      <c r="F667" s="256"/>
      <c r="G667" s="256"/>
      <c r="H667" s="258"/>
      <c r="I667" s="258"/>
      <c r="J667" s="352"/>
    </row>
    <row r="668" spans="1:10">
      <c r="A668" s="417"/>
      <c r="B668" s="256"/>
      <c r="C668" s="256"/>
      <c r="D668" s="256"/>
      <c r="E668" s="256"/>
      <c r="F668" s="256"/>
      <c r="G668" s="256"/>
      <c r="H668" s="258"/>
      <c r="I668" s="258"/>
      <c r="J668" s="352"/>
    </row>
    <row r="669" spans="1:10">
      <c r="A669" s="417"/>
      <c r="B669" s="256"/>
      <c r="C669" s="256"/>
      <c r="D669" s="256"/>
      <c r="E669" s="256"/>
      <c r="F669" s="256"/>
      <c r="G669" s="256"/>
      <c r="H669" s="258"/>
      <c r="I669" s="258"/>
      <c r="J669" s="352"/>
    </row>
    <row r="670" spans="1:10">
      <c r="A670" s="417"/>
      <c r="B670" s="256"/>
      <c r="C670" s="256"/>
      <c r="D670" s="256"/>
      <c r="E670" s="256"/>
      <c r="F670" s="256"/>
      <c r="G670" s="256"/>
      <c r="H670" s="258"/>
      <c r="I670" s="258"/>
      <c r="J670" s="352"/>
    </row>
    <row r="671" spans="1:10">
      <c r="A671" s="417"/>
      <c r="B671" s="256"/>
      <c r="C671" s="256"/>
      <c r="D671" s="256"/>
      <c r="E671" s="256"/>
      <c r="F671" s="256"/>
      <c r="G671" s="256"/>
      <c r="H671" s="258"/>
      <c r="I671" s="258"/>
      <c r="J671" s="352"/>
    </row>
    <row r="672" spans="1:10">
      <c r="A672" s="417"/>
      <c r="B672" s="256"/>
      <c r="C672" s="256"/>
      <c r="D672" s="256"/>
      <c r="E672" s="256"/>
      <c r="F672" s="256"/>
      <c r="G672" s="256"/>
      <c r="H672" s="258"/>
      <c r="I672" s="258"/>
      <c r="J672" s="352"/>
    </row>
    <row r="673" spans="1:10">
      <c r="A673" s="417"/>
      <c r="B673" s="256"/>
      <c r="C673" s="256"/>
      <c r="D673" s="256"/>
      <c r="E673" s="256"/>
      <c r="F673" s="256"/>
      <c r="G673" s="256"/>
      <c r="H673" s="258"/>
      <c r="I673" s="258"/>
      <c r="J673" s="352"/>
    </row>
    <row r="674" spans="1:10">
      <c r="A674" s="417"/>
      <c r="B674" s="256"/>
      <c r="C674" s="256"/>
      <c r="D674" s="256"/>
      <c r="E674" s="256"/>
      <c r="F674" s="256"/>
      <c r="G674" s="256"/>
      <c r="H674" s="258"/>
      <c r="I674" s="258"/>
      <c r="J674" s="352"/>
    </row>
    <row r="675" spans="1:10">
      <c r="A675" s="417"/>
      <c r="B675" s="256"/>
      <c r="C675" s="256"/>
      <c r="D675" s="256"/>
      <c r="E675" s="256"/>
      <c r="F675" s="256"/>
      <c r="G675" s="256"/>
      <c r="H675" s="258"/>
      <c r="I675" s="258"/>
      <c r="J675" s="352"/>
    </row>
    <row r="676" spans="1:10">
      <c r="A676" s="417"/>
      <c r="B676" s="256"/>
      <c r="C676" s="256"/>
      <c r="D676" s="256"/>
      <c r="E676" s="256"/>
      <c r="F676" s="256"/>
      <c r="G676" s="256"/>
      <c r="H676" s="258"/>
      <c r="I676" s="258"/>
      <c r="J676" s="352"/>
    </row>
    <row r="677" spans="1:10">
      <c r="A677" s="417"/>
      <c r="B677" s="256"/>
      <c r="C677" s="256"/>
      <c r="D677" s="256"/>
      <c r="E677" s="256"/>
      <c r="F677" s="256"/>
      <c r="G677" s="256"/>
      <c r="H677" s="258"/>
      <c r="I677" s="258"/>
      <c r="J677" s="352"/>
    </row>
    <row r="678" spans="1:10">
      <c r="A678" s="417"/>
      <c r="B678" s="256"/>
      <c r="C678" s="256"/>
      <c r="D678" s="256"/>
      <c r="E678" s="256"/>
      <c r="F678" s="256"/>
      <c r="G678" s="256"/>
      <c r="H678" s="258"/>
      <c r="I678" s="258"/>
      <c r="J678" s="352"/>
    </row>
    <row r="679" spans="1:10">
      <c r="A679" s="417"/>
      <c r="B679" s="256"/>
      <c r="C679" s="256"/>
      <c r="D679" s="256"/>
      <c r="E679" s="256"/>
      <c r="F679" s="256"/>
      <c r="G679" s="256"/>
      <c r="H679" s="258"/>
      <c r="I679" s="258"/>
      <c r="J679" s="352"/>
    </row>
    <row r="680" spans="1:10">
      <c r="A680" s="417"/>
      <c r="B680" s="256"/>
      <c r="C680" s="256"/>
      <c r="D680" s="256"/>
      <c r="E680" s="256"/>
      <c r="F680" s="256"/>
      <c r="G680" s="256"/>
      <c r="H680" s="258"/>
      <c r="I680" s="258"/>
      <c r="J680" s="352"/>
    </row>
    <row r="681" spans="1:10">
      <c r="A681" s="417"/>
      <c r="B681" s="256"/>
      <c r="C681" s="256"/>
      <c r="D681" s="256"/>
      <c r="E681" s="256"/>
      <c r="F681" s="256"/>
      <c r="G681" s="256"/>
      <c r="H681" s="258"/>
      <c r="I681" s="258"/>
      <c r="J681" s="352"/>
    </row>
    <row r="682" spans="1:10">
      <c r="A682" s="417"/>
      <c r="B682" s="256"/>
      <c r="C682" s="256"/>
      <c r="D682" s="256"/>
      <c r="E682" s="256"/>
      <c r="F682" s="256"/>
      <c r="G682" s="256"/>
      <c r="H682" s="258"/>
      <c r="I682" s="258"/>
      <c r="J682" s="352"/>
    </row>
    <row r="683" spans="1:10">
      <c r="A683" s="417"/>
      <c r="B683" s="256"/>
      <c r="C683" s="256"/>
      <c r="D683" s="256"/>
      <c r="E683" s="256"/>
      <c r="F683" s="256"/>
      <c r="G683" s="256"/>
      <c r="H683" s="258"/>
      <c r="I683" s="258"/>
      <c r="J683" s="352"/>
    </row>
    <row r="684" spans="1:10">
      <c r="A684" s="417"/>
      <c r="B684" s="256"/>
      <c r="C684" s="256"/>
      <c r="D684" s="256"/>
      <c r="E684" s="256"/>
      <c r="F684" s="256"/>
      <c r="G684" s="256"/>
      <c r="H684" s="258"/>
      <c r="I684" s="258"/>
      <c r="J684" s="352"/>
    </row>
    <row r="685" spans="1:10">
      <c r="A685" s="417"/>
      <c r="B685" s="256"/>
      <c r="C685" s="256"/>
      <c r="D685" s="256"/>
      <c r="E685" s="256"/>
      <c r="F685" s="256"/>
      <c r="G685" s="256"/>
      <c r="H685" s="258"/>
      <c r="I685" s="258"/>
      <c r="J685" s="352"/>
    </row>
    <row r="686" spans="1:10">
      <c r="A686" s="417"/>
      <c r="B686" s="256"/>
      <c r="C686" s="256"/>
      <c r="D686" s="256"/>
      <c r="E686" s="256"/>
      <c r="F686" s="256"/>
      <c r="G686" s="256"/>
      <c r="H686" s="258"/>
      <c r="I686" s="258"/>
      <c r="J686" s="352"/>
    </row>
    <row r="687" spans="1:10">
      <c r="A687" s="417"/>
      <c r="B687" s="256"/>
      <c r="C687" s="256"/>
      <c r="D687" s="256"/>
      <c r="E687" s="256"/>
      <c r="F687" s="256"/>
      <c r="G687" s="256"/>
      <c r="H687" s="258"/>
      <c r="I687" s="258"/>
      <c r="J687" s="352"/>
    </row>
    <row r="688" spans="1:10">
      <c r="A688" s="417"/>
      <c r="B688" s="256"/>
      <c r="C688" s="256"/>
      <c r="D688" s="256"/>
      <c r="E688" s="256"/>
      <c r="F688" s="256"/>
      <c r="G688" s="256"/>
      <c r="H688" s="258"/>
      <c r="I688" s="258"/>
      <c r="J688" s="352"/>
    </row>
    <row r="689" spans="1:10">
      <c r="A689" s="417"/>
      <c r="B689" s="256"/>
      <c r="C689" s="256"/>
      <c r="D689" s="256"/>
      <c r="E689" s="256"/>
      <c r="F689" s="256"/>
      <c r="G689" s="256"/>
      <c r="H689" s="258"/>
      <c r="I689" s="258"/>
      <c r="J689" s="352"/>
    </row>
    <row r="690" spans="1:10">
      <c r="A690" s="417"/>
      <c r="B690" s="256"/>
      <c r="C690" s="256"/>
      <c r="D690" s="256"/>
      <c r="E690" s="256"/>
      <c r="F690" s="256"/>
      <c r="G690" s="256"/>
      <c r="H690" s="258"/>
      <c r="I690" s="258"/>
      <c r="J690" s="352"/>
    </row>
    <row r="691" spans="1:10">
      <c r="A691" s="417"/>
      <c r="B691" s="256"/>
      <c r="C691" s="256"/>
      <c r="D691" s="256"/>
      <c r="E691" s="256"/>
      <c r="F691" s="256"/>
      <c r="G691" s="256"/>
      <c r="H691" s="258"/>
      <c r="I691" s="258"/>
      <c r="J691" s="352"/>
    </row>
    <row r="692" spans="1:10">
      <c r="A692" s="417"/>
      <c r="B692" s="256"/>
      <c r="C692" s="256"/>
      <c r="D692" s="256"/>
      <c r="E692" s="256"/>
      <c r="F692" s="256"/>
      <c r="G692" s="256"/>
      <c r="H692" s="258"/>
      <c r="I692" s="258"/>
      <c r="J692" s="352"/>
    </row>
    <row r="693" spans="1:10">
      <c r="A693" s="417"/>
      <c r="B693" s="256"/>
      <c r="C693" s="256"/>
      <c r="D693" s="256"/>
      <c r="E693" s="256"/>
      <c r="F693" s="256"/>
      <c r="G693" s="256"/>
      <c r="H693" s="258"/>
      <c r="I693" s="258"/>
      <c r="J693" s="352"/>
    </row>
    <row r="694" spans="1:10">
      <c r="A694" s="417"/>
      <c r="B694" s="256"/>
      <c r="C694" s="256"/>
      <c r="D694" s="256"/>
      <c r="E694" s="256"/>
      <c r="F694" s="256"/>
      <c r="G694" s="256"/>
      <c r="H694" s="258"/>
      <c r="I694" s="258"/>
      <c r="J694" s="352"/>
    </row>
    <row r="695" spans="1:10">
      <c r="A695" s="417"/>
      <c r="B695" s="256"/>
      <c r="C695" s="256"/>
      <c r="D695" s="256"/>
      <c r="E695" s="256"/>
      <c r="F695" s="256"/>
      <c r="G695" s="256"/>
      <c r="H695" s="258"/>
      <c r="I695" s="258"/>
      <c r="J695" s="352"/>
    </row>
    <row r="696" spans="1:10">
      <c r="A696" s="417"/>
      <c r="B696" s="256"/>
      <c r="C696" s="256"/>
      <c r="D696" s="256"/>
      <c r="E696" s="256"/>
      <c r="F696" s="256"/>
      <c r="G696" s="256"/>
      <c r="H696" s="258"/>
      <c r="I696" s="258"/>
      <c r="J696" s="352"/>
    </row>
    <row r="697" spans="1:10">
      <c r="A697" s="419"/>
      <c r="B697" s="256"/>
      <c r="C697" s="256"/>
      <c r="D697" s="256"/>
      <c r="E697" s="256"/>
      <c r="F697" s="256"/>
      <c r="G697" s="256"/>
      <c r="H697" s="258"/>
      <c r="I697" s="258"/>
      <c r="J697" s="352"/>
    </row>
    <row r="698" spans="1:10">
      <c r="A698" s="418"/>
      <c r="B698" s="256"/>
      <c r="C698" s="256"/>
      <c r="D698" s="256"/>
      <c r="E698" s="256"/>
      <c r="F698" s="256"/>
      <c r="G698" s="256"/>
      <c r="H698" s="258"/>
      <c r="I698" s="258"/>
      <c r="J698" s="352"/>
    </row>
    <row r="699" spans="1:10">
      <c r="A699" s="418"/>
      <c r="B699" s="256"/>
      <c r="C699" s="256"/>
      <c r="D699" s="256"/>
      <c r="E699" s="256"/>
      <c r="F699" s="256"/>
      <c r="G699" s="256"/>
      <c r="H699" s="258"/>
      <c r="I699" s="258"/>
      <c r="J699" s="352"/>
    </row>
    <row r="700" spans="1:10">
      <c r="A700" s="417"/>
      <c r="B700" s="256"/>
      <c r="C700" s="256"/>
      <c r="D700" s="256"/>
      <c r="E700" s="256"/>
      <c r="F700" s="256"/>
      <c r="G700" s="256"/>
      <c r="H700" s="258"/>
      <c r="I700" s="258"/>
      <c r="J700" s="352"/>
    </row>
    <row r="701" spans="1:10">
      <c r="A701" s="417"/>
      <c r="B701" s="256"/>
      <c r="C701" s="256"/>
      <c r="D701" s="256"/>
      <c r="E701" s="256"/>
      <c r="F701" s="256"/>
      <c r="G701" s="256"/>
      <c r="H701" s="258"/>
      <c r="I701" s="258"/>
      <c r="J701" s="352"/>
    </row>
    <row r="702" spans="1:10">
      <c r="A702" s="417"/>
      <c r="B702" s="256"/>
      <c r="C702" s="256"/>
      <c r="D702" s="256"/>
      <c r="E702" s="256"/>
      <c r="F702" s="256"/>
      <c r="G702" s="256"/>
      <c r="H702" s="258"/>
      <c r="I702" s="258"/>
      <c r="J702" s="352"/>
    </row>
    <row r="703" spans="1:10">
      <c r="A703" s="417"/>
      <c r="B703" s="256"/>
      <c r="C703" s="256"/>
      <c r="D703" s="256"/>
      <c r="E703" s="256"/>
      <c r="F703" s="256"/>
      <c r="G703" s="256"/>
      <c r="H703" s="258"/>
      <c r="I703" s="258"/>
      <c r="J703" s="352"/>
    </row>
    <row r="704" spans="1:10">
      <c r="A704" s="417"/>
      <c r="B704" s="256"/>
      <c r="C704" s="256"/>
      <c r="D704" s="256"/>
      <c r="E704" s="256"/>
      <c r="F704" s="256"/>
      <c r="G704" s="256"/>
      <c r="H704" s="258"/>
      <c r="I704" s="258"/>
      <c r="J704" s="352"/>
    </row>
    <row r="705" spans="1:10">
      <c r="A705" s="417"/>
      <c r="B705" s="256"/>
      <c r="C705" s="256"/>
      <c r="D705" s="256"/>
      <c r="E705" s="256"/>
      <c r="F705" s="256"/>
      <c r="G705" s="256"/>
      <c r="H705" s="258"/>
      <c r="I705" s="258"/>
      <c r="J705" s="352"/>
    </row>
    <row r="706" spans="1:10">
      <c r="A706" s="417"/>
      <c r="B706" s="256"/>
      <c r="C706" s="256"/>
      <c r="D706" s="256"/>
      <c r="E706" s="256"/>
      <c r="F706" s="256"/>
      <c r="G706" s="256"/>
      <c r="H706" s="258"/>
      <c r="I706" s="258"/>
      <c r="J706" s="352"/>
    </row>
    <row r="707" spans="1:10">
      <c r="A707" s="417"/>
      <c r="B707" s="256"/>
      <c r="C707" s="256"/>
      <c r="D707" s="256"/>
      <c r="E707" s="256"/>
      <c r="F707" s="256"/>
      <c r="G707" s="256"/>
      <c r="H707" s="258"/>
      <c r="I707" s="258"/>
      <c r="J707" s="352"/>
    </row>
    <row r="708" spans="1:10">
      <c r="A708" s="417"/>
      <c r="B708" s="256"/>
      <c r="C708" s="256"/>
      <c r="D708" s="256"/>
      <c r="E708" s="256"/>
      <c r="F708" s="256"/>
      <c r="G708" s="256"/>
      <c r="H708" s="258"/>
      <c r="I708" s="258"/>
      <c r="J708" s="352"/>
    </row>
    <row r="709" spans="1:10">
      <c r="A709" s="417"/>
      <c r="B709" s="256"/>
      <c r="C709" s="256"/>
      <c r="D709" s="256"/>
      <c r="E709" s="256"/>
      <c r="F709" s="256"/>
      <c r="G709" s="256"/>
      <c r="H709" s="258"/>
      <c r="I709" s="258"/>
      <c r="J709" s="352"/>
    </row>
    <row r="710" spans="1:10">
      <c r="A710" s="417"/>
      <c r="B710" s="256"/>
      <c r="C710" s="256"/>
      <c r="D710" s="256"/>
      <c r="E710" s="256"/>
      <c r="F710" s="256"/>
      <c r="G710" s="256"/>
      <c r="H710" s="258"/>
      <c r="I710" s="258"/>
      <c r="J710" s="352"/>
    </row>
    <row r="711" spans="1:10">
      <c r="A711" s="417"/>
      <c r="B711" s="256"/>
      <c r="C711" s="256"/>
      <c r="D711" s="256"/>
      <c r="E711" s="256"/>
      <c r="F711" s="256"/>
      <c r="G711" s="256"/>
      <c r="H711" s="258"/>
      <c r="I711" s="258"/>
      <c r="J711" s="352"/>
    </row>
    <row r="712" spans="1:10">
      <c r="A712" s="417"/>
      <c r="B712" s="256"/>
      <c r="C712" s="256"/>
      <c r="D712" s="256"/>
      <c r="E712" s="256"/>
      <c r="F712" s="256"/>
      <c r="G712" s="256"/>
      <c r="H712" s="258"/>
      <c r="I712" s="258"/>
      <c r="J712" s="352"/>
    </row>
    <row r="713" spans="1:10">
      <c r="A713" s="417"/>
      <c r="B713" s="256"/>
      <c r="C713" s="256"/>
      <c r="D713" s="256"/>
      <c r="E713" s="256"/>
      <c r="F713" s="256"/>
      <c r="G713" s="256"/>
      <c r="H713" s="258"/>
      <c r="I713" s="258"/>
      <c r="J713" s="352"/>
    </row>
    <row r="714" spans="1:10">
      <c r="A714" s="417"/>
      <c r="B714" s="256"/>
      <c r="C714" s="256"/>
      <c r="D714" s="256"/>
      <c r="E714" s="256"/>
      <c r="F714" s="256"/>
      <c r="G714" s="256"/>
      <c r="H714" s="258"/>
      <c r="I714" s="258"/>
      <c r="J714" s="352"/>
    </row>
    <row r="715" spans="1:10">
      <c r="A715" s="417"/>
      <c r="B715" s="256"/>
      <c r="C715" s="256"/>
      <c r="D715" s="256"/>
      <c r="E715" s="256"/>
      <c r="F715" s="256"/>
      <c r="G715" s="256"/>
      <c r="H715" s="258"/>
      <c r="I715" s="258"/>
      <c r="J715" s="352"/>
    </row>
    <row r="716" spans="1:10">
      <c r="A716" s="417"/>
      <c r="B716" s="256"/>
      <c r="C716" s="256"/>
      <c r="D716" s="256"/>
      <c r="E716" s="256"/>
      <c r="F716" s="256"/>
      <c r="G716" s="256"/>
      <c r="H716" s="258"/>
      <c r="I716" s="258"/>
      <c r="J716" s="352"/>
    </row>
    <row r="717" spans="1:10">
      <c r="A717" s="417"/>
      <c r="B717" s="256"/>
      <c r="C717" s="256"/>
      <c r="D717" s="256"/>
      <c r="E717" s="256"/>
      <c r="F717" s="256"/>
      <c r="G717" s="256"/>
      <c r="H717" s="258"/>
      <c r="I717" s="258"/>
      <c r="J717" s="352"/>
    </row>
    <row r="718" spans="1:10">
      <c r="A718" s="417"/>
      <c r="B718" s="256"/>
      <c r="C718" s="256"/>
      <c r="D718" s="256"/>
      <c r="E718" s="256"/>
      <c r="F718" s="256"/>
      <c r="G718" s="256"/>
      <c r="H718" s="258"/>
      <c r="I718" s="258"/>
      <c r="J718" s="352"/>
    </row>
    <row r="719" spans="1:10">
      <c r="A719" s="417"/>
      <c r="B719" s="256"/>
      <c r="C719" s="256"/>
      <c r="D719" s="256"/>
      <c r="E719" s="256"/>
      <c r="F719" s="256"/>
      <c r="G719" s="256"/>
      <c r="H719" s="258"/>
      <c r="I719" s="258"/>
      <c r="J719" s="352"/>
    </row>
    <row r="720" spans="1:10">
      <c r="A720" s="417"/>
      <c r="B720" s="256"/>
      <c r="C720" s="256"/>
      <c r="D720" s="256"/>
      <c r="E720" s="256"/>
      <c r="F720" s="256"/>
      <c r="G720" s="256"/>
      <c r="H720" s="258"/>
      <c r="I720" s="258"/>
      <c r="J720" s="352"/>
    </row>
    <row r="721" spans="1:10">
      <c r="A721" s="417"/>
      <c r="B721" s="256"/>
      <c r="C721" s="256"/>
      <c r="D721" s="256"/>
      <c r="E721" s="256"/>
      <c r="F721" s="256"/>
      <c r="G721" s="256"/>
      <c r="H721" s="258"/>
      <c r="I721" s="258"/>
      <c r="J721" s="352"/>
    </row>
    <row r="722" spans="1:10">
      <c r="A722" s="417"/>
      <c r="B722" s="256"/>
      <c r="C722" s="256"/>
      <c r="D722" s="256"/>
      <c r="E722" s="256"/>
      <c r="F722" s="256"/>
      <c r="G722" s="256"/>
      <c r="H722" s="258"/>
      <c r="I722" s="258"/>
      <c r="J722" s="352"/>
    </row>
    <row r="723" spans="1:10">
      <c r="A723" s="417"/>
      <c r="B723" s="256"/>
      <c r="C723" s="256"/>
      <c r="D723" s="256"/>
      <c r="E723" s="256"/>
      <c r="F723" s="256"/>
      <c r="G723" s="256"/>
      <c r="H723" s="258"/>
      <c r="I723" s="258"/>
      <c r="J723" s="352"/>
    </row>
    <row r="724" spans="1:10">
      <c r="A724" s="417"/>
      <c r="B724" s="256"/>
      <c r="C724" s="256"/>
      <c r="D724" s="256"/>
      <c r="E724" s="256"/>
      <c r="F724" s="256"/>
      <c r="G724" s="256"/>
    </row>
    <row r="725" spans="1:10">
      <c r="A725" s="417"/>
      <c r="B725" s="256"/>
      <c r="C725" s="256"/>
      <c r="D725" s="256"/>
      <c r="E725" s="256"/>
      <c r="F725" s="256"/>
      <c r="G725" s="256"/>
    </row>
    <row r="726" spans="1:10">
      <c r="A726" s="417"/>
      <c r="B726" s="256"/>
      <c r="C726" s="256"/>
      <c r="D726" s="256"/>
      <c r="E726" s="256"/>
      <c r="F726" s="256"/>
      <c r="G726" s="256"/>
    </row>
    <row r="727" spans="1:10">
      <c r="A727" s="417"/>
      <c r="B727" s="256"/>
      <c r="C727" s="256"/>
      <c r="D727" s="256"/>
      <c r="E727" s="256"/>
      <c r="F727" s="256"/>
      <c r="G727" s="256"/>
    </row>
    <row r="728" spans="1:10">
      <c r="A728" s="417"/>
      <c r="B728" s="256"/>
      <c r="C728" s="256"/>
      <c r="D728" s="256"/>
      <c r="E728" s="256"/>
      <c r="F728" s="256"/>
      <c r="G728" s="256"/>
    </row>
    <row r="729" spans="1:10">
      <c r="A729" s="417"/>
      <c r="B729" s="256"/>
      <c r="C729" s="256"/>
      <c r="D729" s="256"/>
      <c r="E729" s="256"/>
      <c r="F729" s="256"/>
      <c r="G729" s="256"/>
    </row>
    <row r="730" spans="1:10">
      <c r="A730" s="417"/>
      <c r="B730" s="256"/>
      <c r="C730" s="256"/>
      <c r="D730" s="256"/>
      <c r="E730" s="256"/>
      <c r="F730" s="256"/>
      <c r="G730" s="256"/>
    </row>
    <row r="731" spans="1:10">
      <c r="A731" s="417"/>
      <c r="B731" s="256"/>
      <c r="C731" s="256"/>
      <c r="D731" s="256"/>
      <c r="E731" s="256"/>
      <c r="F731" s="256"/>
      <c r="G731" s="256"/>
    </row>
    <row r="732" spans="1:10">
      <c r="A732" s="417"/>
      <c r="B732" s="256"/>
      <c r="C732" s="256"/>
      <c r="D732" s="256"/>
      <c r="E732" s="256"/>
      <c r="F732" s="256"/>
      <c r="G732" s="256"/>
    </row>
    <row r="733" spans="1:10">
      <c r="A733" s="417"/>
      <c r="B733" s="256"/>
      <c r="C733" s="256"/>
      <c r="D733" s="256"/>
      <c r="E733" s="256"/>
      <c r="F733" s="256"/>
      <c r="G733" s="256"/>
    </row>
    <row r="734" spans="1:10">
      <c r="A734" s="417"/>
      <c r="B734" s="256"/>
      <c r="C734" s="256"/>
      <c r="D734" s="256"/>
      <c r="E734" s="256"/>
      <c r="F734" s="256"/>
      <c r="G734" s="256"/>
    </row>
    <row r="735" spans="1:10">
      <c r="A735" s="417"/>
      <c r="B735" s="256"/>
      <c r="C735" s="256"/>
      <c r="D735" s="256"/>
      <c r="E735" s="256"/>
      <c r="F735" s="256"/>
      <c r="G735" s="256"/>
    </row>
    <row r="736" spans="1:10">
      <c r="A736" s="419"/>
      <c r="B736" s="256"/>
      <c r="C736" s="256"/>
      <c r="D736" s="256"/>
      <c r="E736" s="256"/>
      <c r="F736" s="256"/>
      <c r="G736" s="256"/>
    </row>
    <row r="737" spans="1:7">
      <c r="A737" s="417"/>
      <c r="B737" s="256"/>
      <c r="C737" s="256"/>
      <c r="D737" s="256"/>
      <c r="E737" s="256"/>
      <c r="F737" s="256"/>
      <c r="G737" s="256"/>
    </row>
    <row r="738" spans="1:7">
      <c r="A738" s="418"/>
      <c r="B738" s="256"/>
      <c r="C738" s="256"/>
      <c r="D738" s="256"/>
      <c r="E738" s="256"/>
      <c r="F738" s="256"/>
      <c r="G738" s="256"/>
    </row>
    <row r="739" spans="1:7">
      <c r="A739" s="417"/>
      <c r="B739" s="256"/>
      <c r="C739" s="256"/>
      <c r="D739" s="256"/>
      <c r="E739" s="256"/>
      <c r="F739" s="256"/>
      <c r="G739" s="256"/>
    </row>
    <row r="740" spans="1:7">
      <c r="A740" s="417"/>
      <c r="B740" s="256"/>
      <c r="C740" s="256"/>
      <c r="D740" s="256"/>
      <c r="E740" s="256"/>
      <c r="F740" s="256"/>
      <c r="G740" s="256"/>
    </row>
    <row r="741" spans="1:7">
      <c r="A741" s="417"/>
      <c r="B741" s="256"/>
      <c r="C741" s="256"/>
      <c r="D741" s="256"/>
      <c r="E741" s="256"/>
      <c r="F741" s="256"/>
      <c r="G741" s="256"/>
    </row>
    <row r="742" spans="1:7">
      <c r="A742" s="417"/>
      <c r="B742" s="256"/>
      <c r="C742" s="256"/>
      <c r="D742" s="256"/>
      <c r="E742" s="256"/>
      <c r="F742" s="256"/>
      <c r="G742" s="256"/>
    </row>
    <row r="743" spans="1:7">
      <c r="A743" s="417"/>
      <c r="B743" s="256"/>
      <c r="C743" s="256"/>
      <c r="D743" s="256"/>
      <c r="E743" s="256"/>
      <c r="F743" s="256"/>
      <c r="G743" s="256"/>
    </row>
    <row r="744" spans="1:7">
      <c r="A744" s="417"/>
      <c r="B744" s="256"/>
      <c r="C744" s="256"/>
      <c r="D744" s="256"/>
      <c r="E744" s="256"/>
      <c r="F744" s="256"/>
      <c r="G744" s="256"/>
    </row>
    <row r="745" spans="1:7">
      <c r="A745" s="417"/>
      <c r="B745" s="256"/>
      <c r="C745" s="256"/>
      <c r="D745" s="256"/>
      <c r="E745" s="256"/>
      <c r="F745" s="256"/>
      <c r="G745" s="256"/>
    </row>
    <row r="746" spans="1:7">
      <c r="A746" s="419"/>
      <c r="B746" s="256"/>
      <c r="C746" s="256"/>
      <c r="D746" s="256"/>
      <c r="E746" s="256"/>
      <c r="F746" s="256"/>
      <c r="G746" s="256"/>
    </row>
    <row r="747" spans="1:7">
      <c r="A747" s="418"/>
      <c r="B747" s="256"/>
      <c r="C747" s="256"/>
      <c r="D747" s="256"/>
      <c r="E747" s="256"/>
      <c r="F747" s="256"/>
      <c r="G747" s="256"/>
    </row>
    <row r="748" spans="1:7">
      <c r="A748" s="417"/>
      <c r="B748" s="256"/>
      <c r="C748" s="256"/>
      <c r="D748" s="256"/>
      <c r="E748" s="256"/>
      <c r="F748" s="256"/>
      <c r="G748" s="256"/>
    </row>
    <row r="749" spans="1:7">
      <c r="A749" s="417"/>
      <c r="B749" s="256"/>
      <c r="C749" s="256"/>
      <c r="D749" s="256"/>
      <c r="E749" s="256"/>
      <c r="F749" s="256"/>
      <c r="G749" s="256"/>
    </row>
    <row r="750" spans="1:7">
      <c r="A750" s="417"/>
      <c r="B750" s="256"/>
      <c r="C750" s="256"/>
      <c r="D750" s="256"/>
      <c r="E750" s="256"/>
      <c r="F750" s="256"/>
      <c r="G750" s="256"/>
    </row>
    <row r="751" spans="1:7">
      <c r="A751" s="417"/>
      <c r="B751" s="256"/>
      <c r="C751" s="256"/>
      <c r="D751" s="256"/>
      <c r="E751" s="256"/>
      <c r="F751" s="256"/>
      <c r="G751" s="256"/>
    </row>
    <row r="752" spans="1:7">
      <c r="A752" s="417"/>
      <c r="B752" s="256"/>
      <c r="C752" s="256"/>
      <c r="D752" s="256"/>
      <c r="E752" s="256"/>
      <c r="F752" s="256"/>
      <c r="G752" s="256"/>
    </row>
    <row r="753" spans="1:7">
      <c r="A753" s="417"/>
      <c r="B753" s="256"/>
      <c r="C753" s="256"/>
      <c r="D753" s="256"/>
      <c r="E753" s="256"/>
      <c r="F753" s="256"/>
      <c r="G753" s="256"/>
    </row>
    <row r="754" spans="1:7">
      <c r="A754" s="417"/>
      <c r="B754" s="256"/>
      <c r="C754" s="256"/>
      <c r="D754" s="256"/>
      <c r="E754" s="256"/>
      <c r="F754" s="256"/>
      <c r="G754" s="256"/>
    </row>
    <row r="755" spans="1:7">
      <c r="A755" s="417"/>
      <c r="B755" s="256"/>
      <c r="C755" s="256"/>
      <c r="D755" s="256"/>
      <c r="E755" s="256"/>
      <c r="F755" s="256"/>
      <c r="G755" s="256"/>
    </row>
    <row r="756" spans="1:7">
      <c r="A756" s="417"/>
      <c r="B756" s="256"/>
      <c r="C756" s="256"/>
      <c r="D756" s="256"/>
      <c r="E756" s="256"/>
      <c r="F756" s="256"/>
      <c r="G756" s="256"/>
    </row>
    <row r="757" spans="1:7">
      <c r="A757" s="417"/>
      <c r="B757" s="256"/>
      <c r="C757" s="256"/>
      <c r="D757" s="256"/>
      <c r="E757" s="256"/>
      <c r="F757" s="256"/>
      <c r="G757" s="256"/>
    </row>
    <row r="758" spans="1:7">
      <c r="A758" s="417"/>
      <c r="B758" s="256"/>
      <c r="C758" s="256"/>
      <c r="D758" s="256"/>
      <c r="E758" s="256"/>
      <c r="F758" s="256"/>
      <c r="G758" s="256"/>
    </row>
    <row r="759" spans="1:7">
      <c r="A759" s="417"/>
      <c r="B759" s="256"/>
      <c r="C759" s="256"/>
      <c r="D759" s="256"/>
      <c r="E759" s="256"/>
      <c r="F759" s="256"/>
      <c r="G759" s="256"/>
    </row>
    <row r="760" spans="1:7">
      <c r="A760" s="417"/>
      <c r="B760" s="256"/>
      <c r="C760" s="256"/>
      <c r="D760" s="256"/>
      <c r="E760" s="256"/>
      <c r="F760" s="256"/>
      <c r="G760" s="256"/>
    </row>
    <row r="761" spans="1:7">
      <c r="A761" s="417"/>
      <c r="B761" s="256"/>
      <c r="C761" s="256"/>
      <c r="D761" s="256"/>
      <c r="E761" s="256"/>
      <c r="F761" s="256"/>
      <c r="G761" s="256"/>
    </row>
    <row r="762" spans="1:7">
      <c r="A762" s="417"/>
      <c r="B762" s="256"/>
      <c r="C762" s="256"/>
      <c r="D762" s="256"/>
      <c r="E762" s="256"/>
      <c r="F762" s="256"/>
      <c r="G762" s="256"/>
    </row>
    <row r="763" spans="1:7">
      <c r="A763" s="417"/>
      <c r="B763" s="256"/>
      <c r="C763" s="256"/>
      <c r="D763" s="256"/>
      <c r="E763" s="256"/>
      <c r="F763" s="256"/>
      <c r="G763" s="256"/>
    </row>
    <row r="764" spans="1:7">
      <c r="A764" s="417"/>
      <c r="B764" s="256"/>
      <c r="C764" s="256"/>
      <c r="D764" s="256"/>
      <c r="E764" s="256"/>
      <c r="F764" s="256"/>
      <c r="G764" s="256"/>
    </row>
    <row r="765" spans="1:7">
      <c r="A765" s="417"/>
      <c r="B765" s="256"/>
      <c r="C765" s="256"/>
      <c r="D765" s="256"/>
      <c r="E765" s="256"/>
      <c r="F765" s="256"/>
      <c r="G765" s="256"/>
    </row>
    <row r="766" spans="1:7">
      <c r="A766" s="417"/>
      <c r="B766" s="256"/>
      <c r="C766" s="256"/>
      <c r="D766" s="256"/>
      <c r="E766" s="256"/>
      <c r="F766" s="256"/>
      <c r="G766" s="256"/>
    </row>
    <row r="767" spans="1:7">
      <c r="A767" s="417"/>
      <c r="B767" s="256"/>
      <c r="C767" s="256"/>
      <c r="D767" s="256"/>
      <c r="E767" s="256"/>
      <c r="F767" s="256"/>
      <c r="G767" s="256"/>
    </row>
    <row r="768" spans="1:7">
      <c r="A768" s="417"/>
      <c r="B768" s="256"/>
      <c r="C768" s="256"/>
      <c r="D768" s="256"/>
      <c r="E768" s="256"/>
      <c r="F768" s="256"/>
      <c r="G768" s="256"/>
    </row>
    <row r="769" spans="1:7">
      <c r="A769" s="417"/>
      <c r="B769" s="256"/>
      <c r="C769" s="256"/>
      <c r="D769" s="256"/>
      <c r="E769" s="256"/>
      <c r="F769" s="256"/>
      <c r="G769" s="256"/>
    </row>
    <row r="770" spans="1:7">
      <c r="A770" s="417"/>
      <c r="B770" s="256"/>
      <c r="C770" s="256"/>
      <c r="D770" s="256"/>
      <c r="E770" s="256"/>
      <c r="F770" s="256"/>
      <c r="G770" s="256"/>
    </row>
    <row r="771" spans="1:7">
      <c r="A771" s="417"/>
      <c r="B771" s="256"/>
      <c r="C771" s="256"/>
      <c r="D771" s="256"/>
      <c r="E771" s="256"/>
      <c r="F771" s="256"/>
      <c r="G771" s="256"/>
    </row>
    <row r="772" spans="1:7">
      <c r="A772" s="417"/>
      <c r="B772" s="256"/>
      <c r="C772" s="256"/>
      <c r="D772" s="256"/>
      <c r="E772" s="256"/>
      <c r="F772" s="256"/>
      <c r="G772" s="256"/>
    </row>
    <row r="773" spans="1:7">
      <c r="A773" s="417"/>
      <c r="B773" s="256"/>
      <c r="C773" s="256"/>
      <c r="D773" s="256"/>
      <c r="E773" s="256"/>
      <c r="F773" s="256"/>
      <c r="G773" s="256"/>
    </row>
    <row r="774" spans="1:7">
      <c r="A774" s="417"/>
      <c r="B774" s="256"/>
      <c r="C774" s="256"/>
      <c r="D774" s="256"/>
      <c r="E774" s="256"/>
      <c r="F774" s="256"/>
      <c r="G774" s="256"/>
    </row>
    <row r="775" spans="1:7">
      <c r="A775" s="417"/>
      <c r="B775" s="256"/>
      <c r="C775" s="256"/>
      <c r="D775" s="256"/>
      <c r="E775" s="256"/>
      <c r="F775" s="256"/>
      <c r="G775" s="256"/>
    </row>
    <row r="776" spans="1:7">
      <c r="A776" s="417"/>
      <c r="B776" s="256"/>
      <c r="C776" s="256"/>
      <c r="D776" s="256"/>
      <c r="E776" s="256"/>
      <c r="F776" s="256"/>
      <c r="G776" s="256"/>
    </row>
    <row r="777" spans="1:7">
      <c r="A777" s="417"/>
      <c r="B777" s="256"/>
      <c r="C777" s="256"/>
      <c r="D777" s="256"/>
      <c r="E777" s="256"/>
      <c r="F777" s="256"/>
      <c r="G777" s="256"/>
    </row>
    <row r="778" spans="1:7">
      <c r="A778" s="417"/>
      <c r="B778" s="256"/>
      <c r="C778" s="256"/>
      <c r="D778" s="256"/>
      <c r="E778" s="256"/>
      <c r="F778" s="256"/>
      <c r="G778" s="256"/>
    </row>
    <row r="779" spans="1:7">
      <c r="A779" s="417"/>
      <c r="B779" s="256"/>
      <c r="C779" s="256"/>
      <c r="D779" s="256"/>
      <c r="E779" s="256"/>
      <c r="F779" s="256"/>
      <c r="G779" s="256"/>
    </row>
    <row r="780" spans="1:7">
      <c r="A780" s="417"/>
      <c r="B780" s="256"/>
      <c r="C780" s="256"/>
      <c r="D780" s="256"/>
      <c r="E780" s="256"/>
      <c r="F780" s="256"/>
      <c r="G780" s="256"/>
    </row>
    <row r="781" spans="1:7">
      <c r="A781" s="417"/>
      <c r="B781" s="256"/>
      <c r="C781" s="256"/>
      <c r="D781" s="256"/>
      <c r="E781" s="256"/>
      <c r="F781" s="256"/>
      <c r="G781" s="256"/>
    </row>
    <row r="782" spans="1:7">
      <c r="A782" s="417"/>
      <c r="B782" s="256"/>
      <c r="C782" s="256"/>
      <c r="D782" s="256"/>
      <c r="E782" s="256"/>
      <c r="F782" s="256"/>
      <c r="G782" s="256"/>
    </row>
    <row r="783" spans="1:7">
      <c r="A783" s="417"/>
      <c r="B783" s="256"/>
      <c r="C783" s="256"/>
      <c r="D783" s="256"/>
      <c r="E783" s="256"/>
      <c r="F783" s="256"/>
      <c r="G783" s="256"/>
    </row>
    <row r="784" spans="1:7">
      <c r="A784" s="417"/>
      <c r="B784" s="256"/>
      <c r="C784" s="256"/>
      <c r="D784" s="256"/>
      <c r="E784" s="256"/>
      <c r="F784" s="256"/>
      <c r="G784" s="256"/>
    </row>
    <row r="785" spans="1:7">
      <c r="A785" s="419"/>
      <c r="B785" s="256"/>
      <c r="C785" s="256"/>
      <c r="D785" s="256"/>
      <c r="E785" s="256"/>
      <c r="F785" s="256"/>
      <c r="G785" s="256"/>
    </row>
    <row r="786" spans="1:7">
      <c r="A786" s="418"/>
      <c r="B786" s="256"/>
      <c r="C786" s="256"/>
      <c r="D786" s="256"/>
      <c r="E786" s="256"/>
      <c r="F786" s="256"/>
      <c r="G786" s="256"/>
    </row>
    <row r="787" spans="1:7">
      <c r="A787" s="417"/>
      <c r="B787" s="256"/>
      <c r="C787" s="256"/>
      <c r="D787" s="256"/>
      <c r="E787" s="256"/>
      <c r="F787" s="256"/>
      <c r="G787" s="256"/>
    </row>
    <row r="788" spans="1:7">
      <c r="A788" s="417"/>
      <c r="B788" s="256"/>
      <c r="C788" s="256"/>
      <c r="D788" s="256"/>
      <c r="E788" s="256"/>
      <c r="F788" s="256"/>
      <c r="G788" s="256"/>
    </row>
    <row r="789" spans="1:7">
      <c r="A789" s="417"/>
      <c r="B789" s="256"/>
      <c r="C789" s="256"/>
      <c r="D789" s="256"/>
      <c r="E789" s="256"/>
      <c r="F789" s="256"/>
      <c r="G789" s="256"/>
    </row>
    <row r="790" spans="1:7">
      <c r="A790" s="417"/>
      <c r="B790" s="256"/>
      <c r="C790" s="256"/>
      <c r="D790" s="256"/>
      <c r="E790" s="256"/>
      <c r="F790" s="256"/>
      <c r="G790" s="256"/>
    </row>
    <row r="791" spans="1:7">
      <c r="A791" s="417"/>
      <c r="B791" s="256"/>
      <c r="C791" s="256"/>
      <c r="D791" s="256"/>
      <c r="E791" s="256"/>
      <c r="F791" s="256"/>
      <c r="G791" s="256"/>
    </row>
    <row r="792" spans="1:7">
      <c r="A792" s="417"/>
      <c r="B792" s="256"/>
      <c r="C792" s="256"/>
      <c r="D792" s="256"/>
      <c r="E792" s="256"/>
      <c r="F792" s="256"/>
      <c r="G792" s="256"/>
    </row>
    <row r="793" spans="1:7">
      <c r="A793" s="417"/>
      <c r="B793" s="256"/>
      <c r="C793" s="256"/>
      <c r="D793" s="256"/>
      <c r="E793" s="256"/>
      <c r="F793" s="256"/>
      <c r="G793" s="256"/>
    </row>
    <row r="794" spans="1:7">
      <c r="A794" s="417"/>
      <c r="B794" s="256"/>
      <c r="C794" s="256"/>
      <c r="D794" s="256"/>
      <c r="E794" s="256"/>
      <c r="F794" s="256"/>
      <c r="G794" s="256"/>
    </row>
    <row r="795" spans="1:7">
      <c r="A795" s="420"/>
      <c r="B795" s="256"/>
      <c r="C795" s="256"/>
      <c r="D795" s="256"/>
      <c r="E795" s="256"/>
      <c r="F795" s="256"/>
      <c r="G795" s="256"/>
    </row>
    <row r="796" spans="1:7">
      <c r="A796" s="417"/>
      <c r="B796" s="256"/>
      <c r="C796" s="256"/>
      <c r="D796" s="256"/>
      <c r="E796" s="256"/>
      <c r="F796" s="256"/>
      <c r="G796" s="256"/>
    </row>
    <row r="797" spans="1:7">
      <c r="A797" s="417"/>
      <c r="B797" s="256"/>
      <c r="C797" s="256"/>
      <c r="D797" s="256"/>
      <c r="E797" s="256"/>
      <c r="F797" s="256"/>
      <c r="G797" s="256"/>
    </row>
    <row r="798" spans="1:7">
      <c r="A798" s="417"/>
      <c r="B798" s="256"/>
      <c r="C798" s="256"/>
      <c r="D798" s="256"/>
      <c r="E798" s="256"/>
      <c r="F798" s="256"/>
      <c r="G798" s="256"/>
    </row>
    <row r="799" spans="1:7">
      <c r="A799" s="417"/>
      <c r="B799" s="256"/>
      <c r="C799" s="256"/>
      <c r="D799" s="256"/>
      <c r="E799" s="256"/>
      <c r="F799" s="256"/>
      <c r="G799" s="256"/>
    </row>
    <row r="800" spans="1:7">
      <c r="A800" s="417"/>
      <c r="B800" s="256"/>
      <c r="C800" s="256"/>
      <c r="D800" s="256"/>
      <c r="E800" s="256"/>
      <c r="F800" s="256"/>
      <c r="G800" s="256"/>
    </row>
    <row r="801" spans="1:7">
      <c r="A801" s="417"/>
      <c r="B801" s="256"/>
      <c r="C801" s="256"/>
      <c r="D801" s="256"/>
      <c r="E801" s="256"/>
      <c r="F801" s="256"/>
      <c r="G801" s="256"/>
    </row>
    <row r="802" spans="1:7">
      <c r="A802" s="417"/>
      <c r="B802" s="256"/>
      <c r="C802" s="256"/>
      <c r="D802" s="256"/>
      <c r="E802" s="256"/>
      <c r="F802" s="256"/>
      <c r="G802" s="256"/>
    </row>
    <row r="803" spans="1:7">
      <c r="A803" s="417"/>
      <c r="B803" s="256"/>
      <c r="C803" s="256"/>
      <c r="D803" s="256"/>
      <c r="E803" s="256"/>
      <c r="F803" s="256"/>
      <c r="G803" s="256"/>
    </row>
    <row r="804" spans="1:7">
      <c r="A804" s="417"/>
      <c r="B804" s="256"/>
      <c r="C804" s="256"/>
      <c r="D804" s="256"/>
      <c r="E804" s="256"/>
      <c r="F804" s="256"/>
      <c r="G804" s="256"/>
    </row>
    <row r="805" spans="1:7">
      <c r="A805" s="417"/>
      <c r="B805" s="256"/>
      <c r="C805" s="256"/>
      <c r="D805" s="256"/>
      <c r="E805" s="256"/>
      <c r="F805" s="256"/>
      <c r="G805" s="256"/>
    </row>
    <row r="806" spans="1:7">
      <c r="A806" s="417"/>
      <c r="B806" s="256"/>
      <c r="C806" s="256"/>
      <c r="D806" s="256"/>
      <c r="E806" s="256"/>
      <c r="F806" s="256"/>
      <c r="G806" s="256"/>
    </row>
    <row r="807" spans="1:7">
      <c r="A807" s="417"/>
      <c r="B807" s="256"/>
      <c r="C807" s="256"/>
      <c r="D807" s="256"/>
      <c r="E807" s="256"/>
      <c r="F807" s="256"/>
      <c r="G807" s="256"/>
    </row>
    <row r="808" spans="1:7">
      <c r="A808" s="417"/>
      <c r="B808" s="256"/>
      <c r="C808" s="256"/>
      <c r="D808" s="256"/>
      <c r="E808" s="256"/>
      <c r="F808" s="256"/>
      <c r="G808" s="256"/>
    </row>
    <row r="809" spans="1:7">
      <c r="A809" s="417"/>
      <c r="B809" s="256"/>
      <c r="C809" s="256"/>
      <c r="D809" s="256"/>
      <c r="E809" s="256"/>
      <c r="F809" s="256"/>
      <c r="G809" s="256"/>
    </row>
    <row r="810" spans="1:7">
      <c r="A810" s="417"/>
      <c r="B810" s="256"/>
      <c r="C810" s="256"/>
      <c r="D810" s="256"/>
      <c r="E810" s="256"/>
      <c r="F810" s="256"/>
      <c r="G810" s="256"/>
    </row>
    <row r="811" spans="1:7">
      <c r="A811" s="417"/>
      <c r="B811" s="256"/>
      <c r="C811" s="256"/>
      <c r="D811" s="256"/>
      <c r="E811" s="256"/>
      <c r="F811" s="256"/>
      <c r="G811" s="256"/>
    </row>
    <row r="812" spans="1:7">
      <c r="A812" s="417"/>
      <c r="B812" s="256"/>
      <c r="C812" s="256"/>
      <c r="D812" s="256"/>
      <c r="E812" s="256"/>
      <c r="F812" s="256"/>
      <c r="G812" s="256"/>
    </row>
    <row r="813" spans="1:7">
      <c r="A813" s="417"/>
      <c r="B813" s="256"/>
      <c r="C813" s="256"/>
      <c r="D813" s="256"/>
      <c r="E813" s="256"/>
      <c r="F813" s="256"/>
      <c r="G813" s="256"/>
    </row>
    <row r="814" spans="1:7">
      <c r="A814" s="417"/>
      <c r="B814" s="256"/>
      <c r="C814" s="256"/>
      <c r="D814" s="256"/>
      <c r="E814" s="256"/>
      <c r="F814" s="256"/>
      <c r="G814" s="256"/>
    </row>
    <row r="815" spans="1:7">
      <c r="A815" s="417"/>
      <c r="B815" s="256"/>
      <c r="C815" s="256"/>
      <c r="D815" s="256"/>
      <c r="E815" s="256"/>
      <c r="F815" s="256"/>
      <c r="G815" s="256"/>
    </row>
    <row r="816" spans="1:7">
      <c r="A816" s="417"/>
      <c r="B816" s="256"/>
      <c r="C816" s="256"/>
      <c r="D816" s="256"/>
      <c r="E816" s="256"/>
      <c r="F816" s="256"/>
      <c r="G816" s="256"/>
    </row>
    <row r="817" spans="1:7">
      <c r="A817" s="417"/>
      <c r="B817" s="256"/>
      <c r="C817" s="256"/>
      <c r="D817" s="256"/>
      <c r="E817" s="256"/>
      <c r="F817" s="256"/>
      <c r="G817" s="256"/>
    </row>
    <row r="818" spans="1:7">
      <c r="A818" s="417"/>
      <c r="B818" s="256"/>
      <c r="C818" s="256"/>
      <c r="D818" s="256"/>
      <c r="E818" s="256"/>
      <c r="F818" s="256"/>
      <c r="G818" s="256"/>
    </row>
    <row r="819" spans="1:7">
      <c r="A819" s="417"/>
      <c r="B819" s="256"/>
      <c r="C819" s="256"/>
      <c r="D819" s="256"/>
      <c r="E819" s="256"/>
      <c r="F819" s="256"/>
      <c r="G819" s="256"/>
    </row>
    <row r="820" spans="1:7">
      <c r="A820" s="417"/>
      <c r="B820" s="256"/>
      <c r="C820" s="256"/>
      <c r="D820" s="256"/>
      <c r="E820" s="256"/>
      <c r="F820" s="256"/>
      <c r="G820" s="256"/>
    </row>
    <row r="821" spans="1:7">
      <c r="A821" s="417"/>
      <c r="B821" s="256"/>
      <c r="C821" s="256"/>
      <c r="D821" s="256"/>
      <c r="E821" s="256"/>
      <c r="F821" s="256"/>
      <c r="G821" s="256"/>
    </row>
    <row r="822" spans="1:7">
      <c r="A822" s="417"/>
      <c r="B822" s="256"/>
      <c r="C822" s="256"/>
      <c r="D822" s="256"/>
      <c r="E822" s="256"/>
      <c r="F822" s="256"/>
      <c r="G822" s="256"/>
    </row>
    <row r="823" spans="1:7">
      <c r="A823" s="417"/>
      <c r="B823" s="256"/>
      <c r="C823" s="256"/>
      <c r="D823" s="256"/>
      <c r="E823" s="256"/>
      <c r="F823" s="256"/>
      <c r="G823" s="256"/>
    </row>
    <row r="824" spans="1:7">
      <c r="A824" s="417"/>
      <c r="B824" s="256"/>
      <c r="C824" s="256"/>
      <c r="D824" s="256"/>
      <c r="E824" s="256"/>
      <c r="F824" s="256"/>
      <c r="G824" s="256"/>
    </row>
    <row r="825" spans="1:7">
      <c r="A825" s="417"/>
      <c r="B825" s="256"/>
      <c r="C825" s="256"/>
      <c r="D825" s="256"/>
      <c r="E825" s="256"/>
      <c r="F825" s="256"/>
      <c r="G825" s="256"/>
    </row>
    <row r="826" spans="1:7">
      <c r="A826" s="417"/>
      <c r="B826" s="256"/>
      <c r="C826" s="256"/>
      <c r="D826" s="256"/>
      <c r="E826" s="256"/>
      <c r="F826" s="256"/>
      <c r="G826" s="256"/>
    </row>
    <row r="827" spans="1:7">
      <c r="A827" s="417"/>
      <c r="B827" s="256"/>
      <c r="C827" s="256"/>
      <c r="D827" s="256"/>
      <c r="E827" s="256"/>
      <c r="F827" s="256"/>
      <c r="G827" s="256"/>
    </row>
    <row r="828" spans="1:7">
      <c r="A828" s="417"/>
      <c r="B828" s="256"/>
      <c r="C828" s="256"/>
      <c r="D828" s="256"/>
      <c r="E828" s="256"/>
      <c r="F828" s="256"/>
      <c r="G828" s="256"/>
    </row>
    <row r="829" spans="1:7">
      <c r="A829" s="417"/>
      <c r="B829" s="256"/>
      <c r="C829" s="256"/>
      <c r="D829" s="256"/>
      <c r="E829" s="256"/>
      <c r="F829" s="256"/>
      <c r="G829" s="256"/>
    </row>
    <row r="830" spans="1:7">
      <c r="A830" s="417"/>
      <c r="B830" s="256"/>
      <c r="C830" s="256"/>
      <c r="D830" s="256"/>
      <c r="E830" s="256"/>
      <c r="F830" s="256"/>
      <c r="G830" s="256"/>
    </row>
    <row r="831" spans="1:7">
      <c r="A831" s="417"/>
      <c r="B831" s="256"/>
      <c r="C831" s="256"/>
      <c r="D831" s="256"/>
      <c r="E831" s="256"/>
      <c r="F831" s="256"/>
      <c r="G831" s="256"/>
    </row>
    <row r="832" spans="1:7">
      <c r="A832" s="417"/>
      <c r="B832" s="256"/>
      <c r="C832" s="256"/>
      <c r="D832" s="256"/>
      <c r="E832" s="256"/>
      <c r="F832" s="256"/>
      <c r="G832" s="256"/>
    </row>
    <row r="833" spans="1:7">
      <c r="A833" s="417"/>
      <c r="B833" s="256"/>
      <c r="C833" s="256"/>
      <c r="D833" s="256"/>
      <c r="E833" s="256"/>
      <c r="F833" s="256"/>
      <c r="G833" s="256"/>
    </row>
    <row r="834" spans="1:7">
      <c r="A834" s="419"/>
      <c r="B834" s="256"/>
      <c r="C834" s="256"/>
      <c r="D834" s="256"/>
      <c r="E834" s="256"/>
      <c r="F834" s="256"/>
      <c r="G834" s="256"/>
    </row>
    <row r="835" spans="1:7">
      <c r="A835" s="417"/>
      <c r="B835" s="256"/>
      <c r="C835" s="256"/>
      <c r="D835" s="256"/>
      <c r="E835" s="256"/>
      <c r="F835" s="256"/>
      <c r="G835" s="256"/>
    </row>
    <row r="836" spans="1:7">
      <c r="A836" s="417"/>
      <c r="B836" s="256"/>
      <c r="C836" s="256"/>
      <c r="D836" s="256"/>
      <c r="E836" s="256"/>
      <c r="F836" s="256"/>
      <c r="G836" s="256"/>
    </row>
    <row r="837" spans="1:7">
      <c r="A837" s="417"/>
      <c r="B837" s="256"/>
      <c r="C837" s="256"/>
      <c r="D837" s="256"/>
      <c r="E837" s="256"/>
      <c r="F837" s="256"/>
      <c r="G837" s="256"/>
    </row>
    <row r="838" spans="1:7">
      <c r="A838" s="417"/>
      <c r="B838" s="256"/>
      <c r="C838" s="256"/>
      <c r="D838" s="256"/>
      <c r="E838" s="256"/>
      <c r="F838" s="256"/>
      <c r="G838" s="256"/>
    </row>
    <row r="839" spans="1:7">
      <c r="A839" s="417"/>
      <c r="B839" s="256"/>
      <c r="C839" s="256"/>
      <c r="D839" s="256"/>
      <c r="E839" s="256"/>
      <c r="F839" s="256"/>
      <c r="G839" s="256"/>
    </row>
    <row r="840" spans="1:7">
      <c r="A840" s="417"/>
      <c r="B840" s="256"/>
      <c r="C840" s="256"/>
      <c r="D840" s="256"/>
      <c r="E840" s="256"/>
      <c r="F840" s="256"/>
      <c r="G840" s="256"/>
    </row>
    <row r="841" spans="1:7">
      <c r="A841" s="418"/>
      <c r="B841" s="256"/>
      <c r="C841" s="256"/>
      <c r="D841" s="256"/>
      <c r="E841" s="256"/>
      <c r="F841" s="256"/>
      <c r="G841" s="256"/>
    </row>
    <row r="842" spans="1:7">
      <c r="A842" s="417"/>
      <c r="B842" s="256"/>
      <c r="C842" s="256"/>
      <c r="D842" s="256"/>
      <c r="E842" s="256"/>
      <c r="F842" s="256"/>
      <c r="G842" s="256"/>
    </row>
    <row r="843" spans="1:7">
      <c r="A843" s="417"/>
      <c r="B843" s="256"/>
      <c r="C843" s="256"/>
      <c r="D843" s="256"/>
      <c r="E843" s="256"/>
      <c r="F843" s="256"/>
      <c r="G843" s="256"/>
    </row>
    <row r="844" spans="1:7">
      <c r="A844" s="420"/>
      <c r="B844" s="256"/>
      <c r="C844" s="256"/>
      <c r="D844" s="256"/>
      <c r="E844" s="256"/>
      <c r="F844" s="256"/>
      <c r="G844" s="256"/>
    </row>
    <row r="845" spans="1:7">
      <c r="A845" s="417"/>
      <c r="B845" s="256"/>
      <c r="C845" s="256"/>
      <c r="D845" s="256"/>
      <c r="E845" s="256"/>
      <c r="F845" s="256"/>
      <c r="G845" s="256"/>
    </row>
    <row r="846" spans="1:7">
      <c r="A846" s="417"/>
      <c r="B846" s="256"/>
      <c r="C846" s="256"/>
      <c r="D846" s="256"/>
      <c r="E846" s="256"/>
      <c r="F846" s="256"/>
      <c r="G846" s="256"/>
    </row>
    <row r="847" spans="1:7">
      <c r="A847" s="417"/>
      <c r="B847" s="256"/>
      <c r="C847" s="256"/>
      <c r="D847" s="256"/>
      <c r="E847" s="256"/>
      <c r="F847" s="256"/>
      <c r="G847" s="256"/>
    </row>
    <row r="848" spans="1:7">
      <c r="A848" s="417"/>
      <c r="B848" s="256"/>
      <c r="C848" s="256"/>
      <c r="D848" s="256"/>
      <c r="E848" s="256"/>
      <c r="F848" s="256"/>
      <c r="G848" s="256"/>
    </row>
    <row r="849" spans="1:7">
      <c r="A849" s="417"/>
      <c r="B849" s="256"/>
      <c r="C849" s="256"/>
      <c r="D849" s="256"/>
      <c r="E849" s="256"/>
      <c r="F849" s="256"/>
      <c r="G849" s="256"/>
    </row>
    <row r="850" spans="1:7">
      <c r="A850" s="417"/>
      <c r="B850" s="256"/>
      <c r="C850" s="256"/>
      <c r="D850" s="256"/>
      <c r="E850" s="256"/>
      <c r="F850" s="256"/>
      <c r="G850" s="256"/>
    </row>
    <row r="851" spans="1:7">
      <c r="A851" s="417"/>
      <c r="B851" s="256"/>
      <c r="C851" s="256"/>
      <c r="D851" s="256"/>
      <c r="E851" s="256"/>
      <c r="F851" s="256"/>
      <c r="G851" s="256"/>
    </row>
    <row r="852" spans="1:7">
      <c r="A852" s="417"/>
      <c r="B852" s="256"/>
      <c r="C852" s="256"/>
      <c r="D852" s="256"/>
      <c r="E852" s="256"/>
      <c r="F852" s="256"/>
      <c r="G852" s="256"/>
    </row>
    <row r="853" spans="1:7">
      <c r="A853" s="417"/>
      <c r="B853" s="256"/>
      <c r="C853" s="256"/>
      <c r="D853" s="256"/>
      <c r="E853" s="256"/>
      <c r="F853" s="256"/>
      <c r="G853" s="256"/>
    </row>
    <row r="854" spans="1:7">
      <c r="A854" s="417"/>
      <c r="B854" s="256"/>
      <c r="C854" s="256"/>
      <c r="D854" s="256"/>
      <c r="E854" s="256"/>
      <c r="F854" s="256"/>
      <c r="G854" s="256"/>
    </row>
    <row r="855" spans="1:7">
      <c r="A855" s="417"/>
      <c r="B855" s="256"/>
      <c r="C855" s="256"/>
      <c r="D855" s="256"/>
      <c r="E855" s="256"/>
      <c r="F855" s="256"/>
      <c r="G855" s="256"/>
    </row>
    <row r="856" spans="1:7">
      <c r="A856" s="417"/>
      <c r="B856" s="256"/>
      <c r="C856" s="256"/>
      <c r="D856" s="256"/>
      <c r="E856" s="256"/>
      <c r="F856" s="256"/>
      <c r="G856" s="256"/>
    </row>
    <row r="857" spans="1:7">
      <c r="A857" s="417"/>
      <c r="B857" s="256"/>
      <c r="C857" s="256"/>
      <c r="D857" s="256"/>
      <c r="E857" s="256"/>
      <c r="F857" s="256"/>
      <c r="G857" s="256"/>
    </row>
    <row r="858" spans="1:7">
      <c r="A858" s="417"/>
      <c r="B858" s="256"/>
      <c r="C858" s="256"/>
      <c r="D858" s="256"/>
      <c r="E858" s="256"/>
      <c r="F858" s="256"/>
      <c r="G858" s="256"/>
    </row>
    <row r="859" spans="1:7">
      <c r="A859" s="417"/>
      <c r="B859" s="256"/>
      <c r="C859" s="256"/>
      <c r="D859" s="256"/>
      <c r="E859" s="256"/>
      <c r="F859" s="256"/>
      <c r="G859" s="256"/>
    </row>
    <row r="860" spans="1:7">
      <c r="A860" s="417"/>
      <c r="B860" s="256"/>
      <c r="C860" s="256"/>
      <c r="D860" s="256"/>
      <c r="E860" s="256"/>
      <c r="F860" s="256"/>
      <c r="G860" s="256"/>
    </row>
    <row r="861" spans="1:7">
      <c r="A861" s="417"/>
      <c r="B861" s="256"/>
      <c r="C861" s="256"/>
      <c r="D861" s="256"/>
      <c r="E861" s="256"/>
      <c r="F861" s="256"/>
      <c r="G861" s="256"/>
    </row>
    <row r="862" spans="1:7">
      <c r="A862" s="417"/>
      <c r="B862" s="256"/>
      <c r="C862" s="256"/>
      <c r="D862" s="256"/>
      <c r="E862" s="256"/>
      <c r="F862" s="256"/>
      <c r="G862" s="256"/>
    </row>
    <row r="863" spans="1:7">
      <c r="A863" s="417"/>
      <c r="B863" s="256"/>
      <c r="C863" s="256"/>
      <c r="D863" s="256"/>
      <c r="E863" s="256"/>
      <c r="F863" s="256"/>
      <c r="G863" s="256"/>
    </row>
    <row r="864" spans="1:7">
      <c r="A864" s="417"/>
      <c r="B864" s="256"/>
      <c r="C864" s="256"/>
      <c r="D864" s="256"/>
      <c r="E864" s="256"/>
      <c r="F864" s="256"/>
      <c r="G864" s="256"/>
    </row>
    <row r="865" spans="1:7">
      <c r="A865" s="417"/>
      <c r="B865" s="256"/>
      <c r="C865" s="256"/>
      <c r="D865" s="256"/>
      <c r="E865" s="256"/>
      <c r="F865" s="256"/>
      <c r="G865" s="256"/>
    </row>
    <row r="866" spans="1:7">
      <c r="A866" s="417"/>
      <c r="B866" s="256"/>
      <c r="C866" s="256"/>
      <c r="D866" s="256"/>
      <c r="E866" s="256"/>
      <c r="F866" s="256"/>
      <c r="G866" s="256"/>
    </row>
    <row r="867" spans="1:7">
      <c r="A867" s="417"/>
      <c r="B867" s="256"/>
      <c r="C867" s="256"/>
      <c r="D867" s="256"/>
      <c r="E867" s="256"/>
      <c r="F867" s="256"/>
      <c r="G867" s="256"/>
    </row>
    <row r="868" spans="1:7">
      <c r="A868" s="417"/>
      <c r="B868" s="256"/>
      <c r="C868" s="256"/>
      <c r="D868" s="256"/>
      <c r="E868" s="256"/>
      <c r="F868" s="256"/>
      <c r="G868" s="256"/>
    </row>
    <row r="869" spans="1:7">
      <c r="A869" s="417"/>
      <c r="B869" s="256"/>
      <c r="C869" s="256"/>
      <c r="D869" s="256"/>
      <c r="E869" s="256"/>
      <c r="F869" s="256"/>
      <c r="G869" s="256"/>
    </row>
    <row r="870" spans="1:7">
      <c r="A870" s="417"/>
    </row>
    <row r="871" spans="1:7">
      <c r="A871" s="417"/>
    </row>
    <row r="872" spans="1:7">
      <c r="A872" s="417"/>
    </row>
    <row r="873" spans="1:7">
      <c r="A873" s="417"/>
    </row>
    <row r="874" spans="1:7">
      <c r="A874" s="417"/>
    </row>
    <row r="875" spans="1:7">
      <c r="A875" s="417"/>
    </row>
    <row r="876" spans="1:7">
      <c r="A876" s="417"/>
    </row>
    <row r="877" spans="1:7">
      <c r="A877" s="417"/>
    </row>
    <row r="878" spans="1:7">
      <c r="A878" s="417"/>
    </row>
    <row r="879" spans="1:7">
      <c r="A879" s="417"/>
    </row>
    <row r="880" spans="1:7">
      <c r="A880" s="417"/>
    </row>
    <row r="881" spans="1:1">
      <c r="A881" s="417"/>
    </row>
    <row r="882" spans="1:1">
      <c r="A882" s="417"/>
    </row>
    <row r="883" spans="1:1">
      <c r="A883" s="419"/>
    </row>
    <row r="884" spans="1:1">
      <c r="A884" s="417"/>
    </row>
    <row r="885" spans="1:1">
      <c r="A885" s="417"/>
    </row>
    <row r="886" spans="1:1">
      <c r="A886" s="417"/>
    </row>
    <row r="887" spans="1:1">
      <c r="A887" s="417"/>
    </row>
    <row r="888" spans="1:1">
      <c r="A888" s="417"/>
    </row>
    <row r="889" spans="1:1">
      <c r="A889" s="417"/>
    </row>
    <row r="890" spans="1:1">
      <c r="A890" s="417"/>
    </row>
    <row r="891" spans="1:1">
      <c r="A891" s="417"/>
    </row>
    <row r="892" spans="1:1">
      <c r="A892" s="417"/>
    </row>
    <row r="893" spans="1:1">
      <c r="A893" s="419"/>
    </row>
    <row r="894" spans="1:1">
      <c r="A894" s="421"/>
    </row>
    <row r="895" spans="1:1">
      <c r="A895" s="421"/>
    </row>
    <row r="896" spans="1:1">
      <c r="A896" s="421"/>
    </row>
    <row r="897" spans="1:1">
      <c r="A897" s="421"/>
    </row>
    <row r="898" spans="1:1">
      <c r="A898" s="421"/>
    </row>
    <row r="899" spans="1:1">
      <c r="A899" s="421"/>
    </row>
    <row r="900" spans="1:1">
      <c r="A900" s="421"/>
    </row>
    <row r="901" spans="1:1">
      <c r="A901" s="421"/>
    </row>
    <row r="902" spans="1:1">
      <c r="A902" s="421"/>
    </row>
    <row r="903" spans="1:1">
      <c r="A903" s="421"/>
    </row>
    <row r="904" spans="1:1">
      <c r="A904" s="421"/>
    </row>
    <row r="905" spans="1:1">
      <c r="A905" s="421"/>
    </row>
    <row r="906" spans="1:1">
      <c r="A906" s="421"/>
    </row>
    <row r="907" spans="1:1">
      <c r="A907" s="421"/>
    </row>
    <row r="908" spans="1:1">
      <c r="A908" s="421"/>
    </row>
    <row r="909" spans="1:1">
      <c r="A909" s="421"/>
    </row>
    <row r="910" spans="1:1">
      <c r="A910" s="421"/>
    </row>
    <row r="911" spans="1:1">
      <c r="A911" s="421"/>
    </row>
    <row r="912" spans="1:1">
      <c r="A912" s="421"/>
    </row>
    <row r="913" spans="1:1">
      <c r="A913" s="421"/>
    </row>
    <row r="914" spans="1:1">
      <c r="A914" s="421"/>
    </row>
    <row r="915" spans="1:1">
      <c r="A915" s="421"/>
    </row>
    <row r="916" spans="1:1">
      <c r="A916" s="421"/>
    </row>
    <row r="917" spans="1:1">
      <c r="A917" s="421"/>
    </row>
    <row r="918" spans="1:1">
      <c r="A918" s="421"/>
    </row>
    <row r="919" spans="1:1">
      <c r="A919" s="421"/>
    </row>
    <row r="920" spans="1:1">
      <c r="A920" s="421"/>
    </row>
    <row r="921" spans="1:1">
      <c r="A921" s="421"/>
    </row>
    <row r="922" spans="1:1">
      <c r="A922" s="421"/>
    </row>
    <row r="923" spans="1:1">
      <c r="A923" s="421"/>
    </row>
    <row r="924" spans="1:1">
      <c r="A924" s="421"/>
    </row>
    <row r="925" spans="1:1">
      <c r="A925" s="421"/>
    </row>
    <row r="926" spans="1:1">
      <c r="A926" s="421"/>
    </row>
    <row r="927" spans="1:1">
      <c r="A927" s="421"/>
    </row>
    <row r="928" spans="1:1">
      <c r="A928" s="421"/>
    </row>
    <row r="929" spans="1:1">
      <c r="A929" s="421"/>
    </row>
    <row r="930" spans="1:1">
      <c r="A930" s="421"/>
    </row>
    <row r="931" spans="1:1">
      <c r="A931" s="421"/>
    </row>
    <row r="932" spans="1:1">
      <c r="A932" s="421"/>
    </row>
    <row r="933" spans="1:1">
      <c r="A933" s="421"/>
    </row>
    <row r="934" spans="1:1">
      <c r="A934" s="421"/>
    </row>
    <row r="935" spans="1:1">
      <c r="A935" s="421"/>
    </row>
    <row r="936" spans="1:1">
      <c r="A936" s="419"/>
    </row>
    <row r="937" spans="1:1">
      <c r="A937" s="421"/>
    </row>
    <row r="938" spans="1:1">
      <c r="A938" s="421"/>
    </row>
    <row r="939" spans="1:1">
      <c r="A939" s="421"/>
    </row>
    <row r="940" spans="1:1">
      <c r="A940" s="421"/>
    </row>
    <row r="941" spans="1:1">
      <c r="A941" s="421"/>
    </row>
    <row r="942" spans="1:1">
      <c r="A942" s="421"/>
    </row>
    <row r="943" spans="1:1">
      <c r="A943" s="421"/>
    </row>
    <row r="944" spans="1:1">
      <c r="A944" s="421"/>
    </row>
    <row r="945" spans="1:1">
      <c r="A945" s="421"/>
    </row>
    <row r="946" spans="1:1">
      <c r="A946" s="421"/>
    </row>
    <row r="947" spans="1:1">
      <c r="A947" s="421"/>
    </row>
    <row r="948" spans="1:1">
      <c r="A948" s="421"/>
    </row>
    <row r="949" spans="1:1">
      <c r="A949" s="421"/>
    </row>
    <row r="950" spans="1:1">
      <c r="A950" s="421"/>
    </row>
    <row r="951" spans="1:1">
      <c r="A951" s="419"/>
    </row>
    <row r="952" spans="1:1">
      <c r="A952" s="421"/>
    </row>
    <row r="953" spans="1:1">
      <c r="A953" s="421"/>
    </row>
    <row r="954" spans="1:1">
      <c r="A954" s="421"/>
    </row>
    <row r="955" spans="1:1">
      <c r="A955" s="421"/>
    </row>
    <row r="956" spans="1:1">
      <c r="A956" s="421"/>
    </row>
    <row r="957" spans="1:1">
      <c r="A957" s="421"/>
    </row>
    <row r="958" spans="1:1">
      <c r="A958" s="421"/>
    </row>
    <row r="959" spans="1:1">
      <c r="A959" s="421"/>
    </row>
    <row r="960" spans="1:1">
      <c r="A960" s="421"/>
    </row>
    <row r="961" spans="1:1">
      <c r="A961" s="421"/>
    </row>
    <row r="962" spans="1:1">
      <c r="A962" s="421"/>
    </row>
    <row r="963" spans="1:1">
      <c r="A963" s="421"/>
    </row>
    <row r="964" spans="1:1">
      <c r="A964" s="421"/>
    </row>
    <row r="965" spans="1:1">
      <c r="A965" s="421"/>
    </row>
    <row r="966" spans="1:1">
      <c r="A966" s="421"/>
    </row>
    <row r="967" spans="1:1">
      <c r="A967" s="421"/>
    </row>
    <row r="968" spans="1:1">
      <c r="A968" s="421"/>
    </row>
    <row r="969" spans="1:1">
      <c r="A969" s="421"/>
    </row>
    <row r="970" spans="1:1">
      <c r="A970" s="421"/>
    </row>
    <row r="971" spans="1:1">
      <c r="A971" s="421"/>
    </row>
    <row r="972" spans="1:1">
      <c r="A972" s="421"/>
    </row>
    <row r="973" spans="1:1">
      <c r="A973" s="421"/>
    </row>
    <row r="974" spans="1:1">
      <c r="A974" s="421"/>
    </row>
    <row r="975" spans="1:1">
      <c r="A975" s="421"/>
    </row>
    <row r="976" spans="1:1">
      <c r="A976" s="421"/>
    </row>
    <row r="977" spans="1:1">
      <c r="A977" s="421"/>
    </row>
    <row r="978" spans="1:1">
      <c r="A978" s="421"/>
    </row>
    <row r="979" spans="1:1">
      <c r="A979" s="421"/>
    </row>
    <row r="980" spans="1:1">
      <c r="A980" s="421"/>
    </row>
    <row r="981" spans="1:1">
      <c r="A981" s="421"/>
    </row>
    <row r="982" spans="1:1">
      <c r="A982" s="421"/>
    </row>
    <row r="983" spans="1:1">
      <c r="A983" s="421"/>
    </row>
    <row r="984" spans="1:1">
      <c r="A984" s="421"/>
    </row>
    <row r="985" spans="1:1">
      <c r="A985" s="421"/>
    </row>
    <row r="986" spans="1:1">
      <c r="A986" s="421"/>
    </row>
    <row r="987" spans="1:1">
      <c r="A987" s="421"/>
    </row>
    <row r="988" spans="1:1">
      <c r="A988" s="421"/>
    </row>
    <row r="989" spans="1:1">
      <c r="A989" s="421"/>
    </row>
    <row r="990" spans="1:1">
      <c r="A990" s="421"/>
    </row>
    <row r="991" spans="1:1">
      <c r="A991" s="421"/>
    </row>
    <row r="992" spans="1:1">
      <c r="A992" s="421"/>
    </row>
    <row r="993" spans="1:1">
      <c r="A993" s="421"/>
    </row>
    <row r="994" spans="1:1">
      <c r="A994" s="419"/>
    </row>
    <row r="995" spans="1:1">
      <c r="A995" s="421"/>
    </row>
    <row r="996" spans="1:1">
      <c r="A996" s="421"/>
    </row>
    <row r="997" spans="1:1">
      <c r="A997" s="421"/>
    </row>
    <row r="998" spans="1:1">
      <c r="A998" s="421"/>
    </row>
    <row r="999" spans="1:1">
      <c r="A999" s="421"/>
    </row>
    <row r="1000" spans="1:1">
      <c r="A1000" s="421"/>
    </row>
    <row r="1001" spans="1:1">
      <c r="A1001" s="421"/>
    </row>
    <row r="1002" spans="1:1">
      <c r="A1002" s="421"/>
    </row>
    <row r="1003" spans="1:1">
      <c r="A1003" s="421"/>
    </row>
    <row r="1004" spans="1:1">
      <c r="A1004" s="421"/>
    </row>
    <row r="1005" spans="1:1">
      <c r="A1005" s="421"/>
    </row>
    <row r="1006" spans="1:1">
      <c r="A1006" s="421"/>
    </row>
    <row r="1007" spans="1:1">
      <c r="A1007" s="421"/>
    </row>
    <row r="1008" spans="1:1">
      <c r="A1008" s="421"/>
    </row>
    <row r="1009" spans="1:1">
      <c r="A1009" s="419"/>
    </row>
    <row r="1010" spans="1:1">
      <c r="A1010" s="421"/>
    </row>
    <row r="1011" spans="1:1">
      <c r="A1011" s="421"/>
    </row>
    <row r="1012" spans="1:1">
      <c r="A1012" s="421"/>
    </row>
    <row r="1013" spans="1:1">
      <c r="A1013" s="421"/>
    </row>
    <row r="1014" spans="1:1">
      <c r="A1014" s="421"/>
    </row>
    <row r="1015" spans="1:1">
      <c r="A1015" s="421"/>
    </row>
    <row r="1016" spans="1:1">
      <c r="A1016" s="421"/>
    </row>
    <row r="1017" spans="1:1">
      <c r="A1017" s="421"/>
    </row>
    <row r="1018" spans="1:1">
      <c r="A1018" s="421"/>
    </row>
    <row r="1019" spans="1:1">
      <c r="A1019" s="421"/>
    </row>
    <row r="1020" spans="1:1">
      <c r="A1020" s="421"/>
    </row>
    <row r="1021" spans="1:1">
      <c r="A1021" s="421"/>
    </row>
    <row r="1022" spans="1:1">
      <c r="A1022" s="421"/>
    </row>
    <row r="1023" spans="1:1">
      <c r="A1023" s="421"/>
    </row>
    <row r="1024" spans="1:1">
      <c r="A1024" s="421"/>
    </row>
    <row r="1025" spans="1:1">
      <c r="A1025" s="421"/>
    </row>
    <row r="1026" spans="1:1">
      <c r="A1026" s="421"/>
    </row>
    <row r="1027" spans="1:1">
      <c r="A1027" s="421"/>
    </row>
    <row r="1028" spans="1:1">
      <c r="A1028" s="421"/>
    </row>
    <row r="1029" spans="1:1">
      <c r="A1029" s="421"/>
    </row>
    <row r="1030" spans="1:1">
      <c r="A1030" s="421"/>
    </row>
    <row r="1031" spans="1:1">
      <c r="A1031" s="421"/>
    </row>
    <row r="1032" spans="1:1">
      <c r="A1032" s="421"/>
    </row>
    <row r="1033" spans="1:1">
      <c r="A1033" s="421"/>
    </row>
    <row r="1034" spans="1:1">
      <c r="A1034" s="421"/>
    </row>
    <row r="1035" spans="1:1">
      <c r="A1035" s="421"/>
    </row>
    <row r="1036" spans="1:1">
      <c r="A1036" s="421"/>
    </row>
    <row r="1037" spans="1:1">
      <c r="A1037" s="421"/>
    </row>
    <row r="1038" spans="1:1">
      <c r="A1038" s="421"/>
    </row>
    <row r="1039" spans="1:1">
      <c r="A1039" s="421"/>
    </row>
    <row r="1040" spans="1:1">
      <c r="A1040" s="421"/>
    </row>
    <row r="1041" spans="1:1">
      <c r="A1041" s="421"/>
    </row>
    <row r="1042" spans="1:1">
      <c r="A1042" s="421"/>
    </row>
    <row r="1043" spans="1:1">
      <c r="A1043" s="421"/>
    </row>
    <row r="1044" spans="1:1">
      <c r="A1044" s="421"/>
    </row>
    <row r="1045" spans="1:1">
      <c r="A1045" s="421"/>
    </row>
    <row r="1046" spans="1:1">
      <c r="A1046" s="421"/>
    </row>
    <row r="1047" spans="1:1">
      <c r="A1047" s="421"/>
    </row>
    <row r="1048" spans="1:1">
      <c r="A1048" s="421"/>
    </row>
    <row r="1049" spans="1:1">
      <c r="A1049" s="421"/>
    </row>
    <row r="1050" spans="1:1">
      <c r="A1050" s="421"/>
    </row>
    <row r="1051" spans="1:1">
      <c r="A1051" s="421"/>
    </row>
    <row r="1052" spans="1:1">
      <c r="A1052" s="419"/>
    </row>
    <row r="1053" spans="1:1">
      <c r="A1053" s="421"/>
    </row>
    <row r="1054" spans="1:1">
      <c r="A1054" s="421"/>
    </row>
    <row r="1055" spans="1:1">
      <c r="A1055" s="421"/>
    </row>
    <row r="1056" spans="1:1">
      <c r="A1056" s="421"/>
    </row>
    <row r="1057" spans="1:1">
      <c r="A1057" s="421"/>
    </row>
    <row r="1058" spans="1:1">
      <c r="A1058" s="421"/>
    </row>
    <row r="1059" spans="1:1">
      <c r="A1059" s="421"/>
    </row>
    <row r="1060" spans="1:1">
      <c r="A1060" s="421"/>
    </row>
    <row r="1061" spans="1:1">
      <c r="A1061" s="421"/>
    </row>
    <row r="1062" spans="1:1">
      <c r="A1062" s="421"/>
    </row>
    <row r="1063" spans="1:1">
      <c r="A1063" s="421"/>
    </row>
    <row r="1064" spans="1:1">
      <c r="A1064" s="421"/>
    </row>
    <row r="1065" spans="1:1">
      <c r="A1065" s="421"/>
    </row>
    <row r="1066" spans="1:1">
      <c r="A1066" s="421"/>
    </row>
    <row r="1067" spans="1:1">
      <c r="A1067" s="419"/>
    </row>
    <row r="1068" spans="1:1">
      <c r="A1068" s="421"/>
    </row>
    <row r="1069" spans="1:1">
      <c r="A1069" s="421"/>
    </row>
    <row r="1070" spans="1:1">
      <c r="A1070" s="421"/>
    </row>
  </sheetData>
  <sheetProtection formatCells="0" formatColumns="0" formatRows="0" insertColumns="0" insertRows="0" insertHyperlinks="0" deleteColumns="0" deleteRows="0" sort="0" autoFilter="0" pivotTables="0"/>
  <mergeCells count="35">
    <mergeCell ref="B606:J606"/>
    <mergeCell ref="B459:J459"/>
    <mergeCell ref="B498:J498"/>
    <mergeCell ref="B513:J513"/>
    <mergeCell ref="B552:J552"/>
    <mergeCell ref="B567:J567"/>
    <mergeCell ref="B335:J335"/>
    <mergeCell ref="B345:J345"/>
    <mergeCell ref="B392:J392"/>
    <mergeCell ref="B402:J402"/>
    <mergeCell ref="B449:J449"/>
    <mergeCell ref="B174:J174"/>
    <mergeCell ref="B221:J221"/>
    <mergeCell ref="B231:J231"/>
    <mergeCell ref="B278:J278"/>
    <mergeCell ref="B288:J288"/>
    <mergeCell ref="B50:J50"/>
    <mergeCell ref="B60:J60"/>
    <mergeCell ref="B107:J107"/>
    <mergeCell ref="B117:J117"/>
    <mergeCell ref="B164:J164"/>
    <mergeCell ref="M1:M2"/>
    <mergeCell ref="H1:I1"/>
    <mergeCell ref="B1:G1"/>
    <mergeCell ref="A1:A2"/>
    <mergeCell ref="L1:L2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hyperlinks>
    <hyperlink ref="L1" location="ГЛАВНАЯ!A1" display="На главную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F2DC8-F24F-4454-99FC-B1AC08AF4E48}">
  <dimension ref="A1:M576"/>
  <sheetViews>
    <sheetView tabSelected="1" zoomScaleNormal="10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K2" sqref="K2"/>
    </sheetView>
  </sheetViews>
  <sheetFormatPr defaultColWidth="9.125" defaultRowHeight="14.3"/>
  <cols>
    <col min="1" max="1" width="41.375" style="422" bestFit="1" customWidth="1"/>
    <col min="2" max="2" width="6.375" style="356" customWidth="1"/>
    <col min="3" max="3" width="6" style="356" customWidth="1"/>
    <col min="4" max="4" width="5.375" style="356" customWidth="1"/>
    <col min="5" max="5" width="6.625" style="356" customWidth="1"/>
    <col min="6" max="7" width="6.375" style="356" customWidth="1"/>
    <col min="8" max="8" width="10.625" style="632" customWidth="1"/>
    <col min="9" max="9" width="9" style="632" customWidth="1"/>
    <col min="10" max="10" width="17" style="686" customWidth="1"/>
    <col min="11" max="11" width="19.25" style="200" customWidth="1"/>
    <col min="12" max="12" width="17.875" style="200" customWidth="1"/>
    <col min="13" max="13" width="33.375" style="200" customWidth="1"/>
    <col min="14" max="16384" width="9.125" style="200"/>
  </cols>
  <sheetData>
    <row r="1" spans="1:13" ht="37.549999999999997" customHeight="1" thickBot="1">
      <c r="A1" s="836" t="s">
        <v>2</v>
      </c>
      <c r="B1" s="852" t="s">
        <v>2271</v>
      </c>
      <c r="C1" s="853"/>
      <c r="D1" s="853"/>
      <c r="E1" s="853"/>
      <c r="F1" s="853"/>
      <c r="G1" s="854"/>
      <c r="H1" s="855" t="s">
        <v>2272</v>
      </c>
      <c r="I1" s="856"/>
      <c r="J1" s="683" t="s">
        <v>2273</v>
      </c>
      <c r="K1" s="251"/>
      <c r="L1" s="797" t="s">
        <v>2304</v>
      </c>
      <c r="M1" s="829" t="s">
        <v>3595</v>
      </c>
    </row>
    <row r="2" spans="1:13" ht="20.25" customHeight="1" thickBot="1">
      <c r="A2" s="851"/>
      <c r="B2" s="357">
        <v>0.55000000000000004</v>
      </c>
      <c r="C2" s="358">
        <v>0.7</v>
      </c>
      <c r="D2" s="358">
        <v>0.8</v>
      </c>
      <c r="E2" s="358">
        <v>1</v>
      </c>
      <c r="F2" s="358">
        <v>1.2</v>
      </c>
      <c r="G2" s="358">
        <v>1.5</v>
      </c>
      <c r="H2" s="630">
        <v>1.2</v>
      </c>
      <c r="I2" s="630">
        <v>1.5</v>
      </c>
      <c r="J2" s="684">
        <v>0.8</v>
      </c>
      <c r="K2" s="251">
        <v>65</v>
      </c>
      <c r="L2" s="798"/>
      <c r="M2" s="830"/>
    </row>
    <row r="3" spans="1:13" s="254" customFormat="1" ht="14.95" customHeight="1" thickBot="1">
      <c r="A3" s="615" t="s">
        <v>3303</v>
      </c>
      <c r="B3" s="848"/>
      <c r="C3" s="849"/>
      <c r="D3" s="849"/>
      <c r="E3" s="849"/>
      <c r="F3" s="849"/>
      <c r="G3" s="849"/>
      <c r="H3" s="849"/>
      <c r="I3" s="849"/>
      <c r="J3" s="850"/>
    </row>
    <row r="4" spans="1:13" ht="14.95" customHeight="1">
      <c r="A4" s="413" t="s">
        <v>709</v>
      </c>
      <c r="B4" s="412">
        <f>'Аксессуары (2)'!B622*1.7*3*($K$2/100+1)</f>
        <v>144.91418906249996</v>
      </c>
      <c r="C4" s="412">
        <f>'Аксессуары (2)'!C622*1.5*3*($K$2/100+1)</f>
        <v>166.22509921874996</v>
      </c>
      <c r="D4" s="412">
        <f>'Аксессуары (2)'!D622*1.5*3*($K$2/100+1)</f>
        <v>191.79819140624997</v>
      </c>
      <c r="E4" s="412">
        <f>'Аксессуары (2)'!E622*1.5*3*($K$2/100+1)</f>
        <v>230.15782968749997</v>
      </c>
      <c r="F4" s="412">
        <f>'Аксессуары (2)'!F622*1.5*3*($K$2/100+1)</f>
        <v>281.30401406249996</v>
      </c>
      <c r="G4" s="412">
        <f>'Аксессуары (2)'!G622*1.5*3*($K$2/100+1)</f>
        <v>358.02329062499996</v>
      </c>
      <c r="H4" s="631">
        <f>'Аксессуары (2)'!H622*1.85*3*($K$2/100+1)</f>
        <v>447.42367345499997</v>
      </c>
      <c r="I4" s="631">
        <f>'Аксессуары (2)'!J622*0.8*3*($K$2/100+1)</f>
        <v>580.13936639999997</v>
      </c>
      <c r="J4" s="685">
        <f>'Аксессуары (2)'!J622*1.8*3*($K$2/100+1)</f>
        <v>1305.3135743999999</v>
      </c>
    </row>
    <row r="5" spans="1:13" ht="14.95" customHeight="1">
      <c r="A5" s="424" t="s">
        <v>534</v>
      </c>
      <c r="B5" s="412">
        <f>'Аксессуары (2)'!B623*1.7*3*($K$2/100+1)</f>
        <v>185.16813046874995</v>
      </c>
      <c r="C5" s="412">
        <f>'Аксессуары (2)'!C623*1.5*3*($K$2/100+1)</f>
        <v>212.39873789062503</v>
      </c>
      <c r="D5" s="412">
        <f>'Аксессуары (2)'!D623*1.5*3*($K$2/100+1)</f>
        <v>245.07546679687499</v>
      </c>
      <c r="E5" s="412">
        <f>'Аксессуары (2)'!E623*1.5*3*($K$2/100+1)</f>
        <v>294.09056015624998</v>
      </c>
      <c r="F5" s="412">
        <f>'Аксессуары (2)'!F623*1.5*3*($K$2/100+1)</f>
        <v>359.44401796875007</v>
      </c>
      <c r="G5" s="412">
        <f>'Аксессуары (2)'!G623*1.5*3*($K$2/100+1)</f>
        <v>457.47420468749993</v>
      </c>
      <c r="H5" s="631">
        <f>'Аксессуары (2)'!H623*1.85*3*($K$2/100+1)</f>
        <v>571.70802719249991</v>
      </c>
      <c r="I5" s="631">
        <f>'Аксессуары (2)'!J623*0.8*3*($K$2/100+1)</f>
        <v>741.28919039999994</v>
      </c>
      <c r="J5" s="685">
        <f>'Аксессуары (2)'!J623*1.8*3*($K$2/100+1)</f>
        <v>1667.9006783999996</v>
      </c>
    </row>
    <row r="6" spans="1:13" ht="14.95" customHeight="1">
      <c r="A6" s="424" t="s">
        <v>692</v>
      </c>
      <c r="B6" s="412">
        <f>'Аксессуары (2)'!B624*1.7*3*($K$2/100+1)</f>
        <v>212.00409140624998</v>
      </c>
      <c r="C6" s="412">
        <f>'Аксессуары (2)'!C624*1.5*3*($K$2/100+1)</f>
        <v>243.18116367187497</v>
      </c>
      <c r="D6" s="412">
        <f>'Аксессуары (2)'!D624*1.5*3*($K$2/100+1)</f>
        <v>280.59365039062499</v>
      </c>
      <c r="E6" s="412">
        <f>'Аксессуары (2)'!E624*1.5*3*($K$2/100+1)</f>
        <v>336.71238046874993</v>
      </c>
      <c r="F6" s="412">
        <f>'Аксессуары (2)'!F624*1.5*3*($K$2/100+1)</f>
        <v>411.53735390625002</v>
      </c>
      <c r="G6" s="412">
        <f>'Аксессуары (2)'!G624*1.5*3*($K$2/100+1)</f>
        <v>523.77481406249979</v>
      </c>
      <c r="H6" s="631">
        <f>'Аксессуары (2)'!H624*1.85*3*($K$2/100+1)</f>
        <v>654.5642630174998</v>
      </c>
      <c r="I6" s="631">
        <f>'Аксессуары (2)'!J624*0.8*3*($K$2/100+1)</f>
        <v>848.72240639999995</v>
      </c>
      <c r="J6" s="685">
        <f>'Аксессуары (2)'!J624*1.8*3*($K$2/100+1)</f>
        <v>1909.6254143999997</v>
      </c>
    </row>
    <row r="7" spans="1:13" ht="14.95" customHeight="1">
      <c r="A7" s="424" t="s">
        <v>693</v>
      </c>
      <c r="B7" s="412">
        <f>'Аксессуары (2)'!B625*1.7*3*($K$2/100+1)</f>
        <v>228.10566796875</v>
      </c>
      <c r="C7" s="412">
        <f>'Аксессуары (2)'!C625*1.5*3*($K$2/100+1)</f>
        <v>261.650619140625</v>
      </c>
      <c r="D7" s="412">
        <f>'Аксессуары (2)'!D625*1.5*3*($K$2/100+1)</f>
        <v>301.90456054687496</v>
      </c>
      <c r="E7" s="412">
        <f>'Аксессуары (2)'!E625*1.5*3*($K$2/100+1)</f>
        <v>362.28547265624991</v>
      </c>
      <c r="F7" s="412">
        <f>'Аксессуары (2)'!F625*1.5*3*($K$2/100+1)</f>
        <v>442.79335546874995</v>
      </c>
      <c r="G7" s="412">
        <f>'Аксессуары (2)'!G625*1.5*3*($K$2/100+1)</f>
        <v>563.55517968749996</v>
      </c>
      <c r="H7" s="631">
        <f>'Аксессуары (2)'!H625*1.85*3*($K$2/100+1)</f>
        <v>704.27800451249993</v>
      </c>
      <c r="I7" s="631">
        <f>'Аксессуары (2)'!J625*0.8*3*($K$2/100+1)</f>
        <v>913.18233600000019</v>
      </c>
      <c r="J7" s="685">
        <f>'Аксессуары (2)'!J625*1.8*3*($K$2/100+1)</f>
        <v>2054.6602560000001</v>
      </c>
    </row>
    <row r="8" spans="1:13" ht="14.95" customHeight="1">
      <c r="A8" s="424" t="s">
        <v>535</v>
      </c>
      <c r="B8" s="412">
        <f>'Аксессуары (2)'!B626*1.7*3*($K$2/100+1)</f>
        <v>265.67601328124994</v>
      </c>
      <c r="C8" s="412">
        <f>'Аксессуары (2)'!C626*1.5*3*($K$2/100+1)</f>
        <v>304.74601523437497</v>
      </c>
      <c r="D8" s="412">
        <f>'Аксессуары (2)'!D626*1.5*3*($K$2/100+1)</f>
        <v>351.63001757812492</v>
      </c>
      <c r="E8" s="412">
        <f>'Аксессуары (2)'!E626*1.5*3*($K$2/100+1)</f>
        <v>421.95602109374994</v>
      </c>
      <c r="F8" s="412">
        <f>'Аксессуары (2)'!F626*1.5*3*($K$2/100+1)</f>
        <v>515.72402578125002</v>
      </c>
      <c r="G8" s="412">
        <f>'Аксессуары (2)'!G626*1.5*3*($K$2/100+1)</f>
        <v>656.37603281249994</v>
      </c>
      <c r="H8" s="631">
        <f>'Аксессуары (2)'!H626*1.85*3*($K$2/100+1)</f>
        <v>820.27673466749991</v>
      </c>
      <c r="I8" s="631">
        <f>'Аксессуары (2)'!J626*0.8*3*($K$2/100+1)</f>
        <v>1063.5888384</v>
      </c>
      <c r="J8" s="685">
        <f>'Аксессуары (2)'!J626*1.8*3*($K$2/100+1)</f>
        <v>2393.0748864000002</v>
      </c>
    </row>
    <row r="9" spans="1:13" ht="14.95" customHeight="1">
      <c r="A9" s="424" t="s">
        <v>536</v>
      </c>
      <c r="B9" s="412">
        <f>'Аксессуары (2)'!B627*1.7*3*($K$2/100+1)</f>
        <v>319.34793515625</v>
      </c>
      <c r="C9" s="412">
        <f>'Аксессуары (2)'!C627*1.5*3*($K$2/100+1)</f>
        <v>366.31086679687496</v>
      </c>
      <c r="D9" s="412">
        <f>'Аксессуары (2)'!D627*1.5*3*($K$2/100+1)</f>
        <v>422.66638476562491</v>
      </c>
      <c r="E9" s="412">
        <f>'Аксессуары (2)'!E627*1.5*3*($K$2/100+1)</f>
        <v>507.19966171875001</v>
      </c>
      <c r="F9" s="412">
        <f>'Аксессуары (2)'!F627*1.5*3*($K$2/100+1)</f>
        <v>619.91069765625002</v>
      </c>
      <c r="G9" s="412">
        <f>'Аксессуары (2)'!G627*1.5*3*($K$2/100+1)</f>
        <v>788.97725156249999</v>
      </c>
      <c r="H9" s="631">
        <f>'Аксессуары (2)'!H627*1.85*3*($K$2/100+1)</f>
        <v>985.98920631749991</v>
      </c>
      <c r="I9" s="631">
        <f>'Аксессуары (2)'!J627*0.8*3*($K$2/100+1)</f>
        <v>1278.4552704000002</v>
      </c>
      <c r="J9" s="685">
        <f>'Аксессуары (2)'!J627*1.8*3*($K$2/100+1)</f>
        <v>2876.5243584000004</v>
      </c>
    </row>
    <row r="10" spans="1:13" ht="14.95" customHeight="1">
      <c r="A10" s="424" t="s">
        <v>694</v>
      </c>
      <c r="B10" s="412">
        <f>'Аксессуары (2)'!B628*1.7*3*($K$2/100+1)</f>
        <v>453.52773984375</v>
      </c>
      <c r="C10" s="412">
        <f>'Аксессуары (2)'!C628*1.5*3*($K$2/100+1)</f>
        <v>520.22299570312487</v>
      </c>
      <c r="D10" s="412">
        <f>'Аксессуары (2)'!D628*1.5*3*($K$2/100+1)</f>
        <v>600.25730273437489</v>
      </c>
      <c r="E10" s="412">
        <f>'Аксессуары (2)'!E628*1.5*3*($K$2/100+1)</f>
        <v>720.30876328124987</v>
      </c>
      <c r="F10" s="412">
        <f>'Аксессуары (2)'!F628*1.5*3*($K$2/100+1)</f>
        <v>880.37737734375003</v>
      </c>
      <c r="G10" s="412">
        <f>'Аксессуары (2)'!G628*1.5*3*($K$2/100+1)</f>
        <v>1120.4802984374999</v>
      </c>
      <c r="H10" s="631">
        <f>'Аксессуары (2)'!H628*1.85*3*($K$2/100+1)</f>
        <v>1400.2703854424999</v>
      </c>
      <c r="I10" s="631">
        <f>'Аксессуары (2)'!J628*0.8*3*($K$2/100+1)</f>
        <v>1815.6213504</v>
      </c>
      <c r="J10" s="685">
        <f>'Аксессуары (2)'!J628*1.8*3*($K$2/100+1)</f>
        <v>4085.1480384000006</v>
      </c>
    </row>
    <row r="11" spans="1:13" ht="14.95" customHeight="1" thickBot="1">
      <c r="A11" s="425" t="s">
        <v>695</v>
      </c>
      <c r="B11" s="412">
        <f>'Аксессуары (2)'!B629*1.7*3*($K$2/100+1)</f>
        <v>587.70754453124994</v>
      </c>
      <c r="C11" s="412">
        <f>'Аксессуары (2)'!C629*1.5*3*($K$2/100+1)</f>
        <v>674.13512460937488</v>
      </c>
      <c r="D11" s="412">
        <f>'Аксессуары (2)'!D629*1.5*3*($K$2/100+1)</f>
        <v>777.84822070312498</v>
      </c>
      <c r="E11" s="412">
        <f>'Аксессуары (2)'!E629*1.5*3*($K$2/100+1)</f>
        <v>933.41786484374995</v>
      </c>
      <c r="F11" s="412">
        <f>'Аксессуары (2)'!F629*1.5*3*($K$2/100+1)</f>
        <v>1140.84405703125</v>
      </c>
      <c r="G11" s="412">
        <f>'Аксессуары (2)'!G629*1.5*3*($K$2/100+1)</f>
        <v>1451.9833453124998</v>
      </c>
      <c r="H11" s="631">
        <f>'Аксессуары (2)'!H629*1.85*3*($K$2/100+1)</f>
        <v>1814.5515645674998</v>
      </c>
      <c r="I11" s="631">
        <f>'Аксессуары (2)'!J629*0.8*3*($K$2/100+1)</f>
        <v>2352.7874304000002</v>
      </c>
      <c r="J11" s="685">
        <f>'Аксессуары (2)'!J629*1.8*3*($K$2/100+1)</f>
        <v>5293.7717184000003</v>
      </c>
    </row>
    <row r="12" spans="1:13" s="254" customFormat="1" ht="14.95" customHeight="1" thickBot="1">
      <c r="A12" s="615" t="s">
        <v>2165</v>
      </c>
      <c r="B12" s="848"/>
      <c r="C12" s="849"/>
      <c r="D12" s="849"/>
      <c r="E12" s="849"/>
      <c r="F12" s="849"/>
      <c r="G12" s="849"/>
      <c r="H12" s="849"/>
      <c r="I12" s="849"/>
      <c r="J12" s="850"/>
    </row>
    <row r="13" spans="1:13" ht="14.95" customHeight="1">
      <c r="A13" s="423" t="s">
        <v>2164</v>
      </c>
      <c r="B13" s="412">
        <f>'Аксессуары (2)'!B631*1.8*($K$2/100+1)</f>
        <v>102.068505</v>
      </c>
      <c r="C13" s="412">
        <f>'Аксессуары (2)'!C631*1.8*($K$2/100+1)</f>
        <v>113.40945000000001</v>
      </c>
      <c r="D13" s="412">
        <f>'Аксессуары (2)'!D631*1.8*($K$2/100+1)</f>
        <v>124.750395</v>
      </c>
      <c r="E13" s="412">
        <f>'Аксессуары (2)'!E631*1.8*($K$2/100+1)</f>
        <v>136.09134</v>
      </c>
      <c r="F13" s="412">
        <f>'Аксессуары (2)'!F631*1.8*($K$2/100+1)</f>
        <v>149.70047400000001</v>
      </c>
      <c r="G13" s="412">
        <f>'Аксессуары (2)'!G631*1.8*($K$2/100+1)</f>
        <v>163.309608</v>
      </c>
      <c r="H13" s="631">
        <f>'Аксессуары (2)'!H631*1.8*($K$2/100+1)</f>
        <v>226.81890000000001</v>
      </c>
      <c r="I13" s="631">
        <f>'Аксессуары (2)'!I631*1.8*($K$2/100+1)</f>
        <v>249.50078999999999</v>
      </c>
      <c r="J13" s="685">
        <f>'Аксессуары (2)'!J631*1.8*($K$2/100+1)</f>
        <v>340.22834999999998</v>
      </c>
    </row>
    <row r="14" spans="1:13" ht="14.95" customHeight="1">
      <c r="A14" s="414" t="s">
        <v>2166</v>
      </c>
      <c r="B14" s="412">
        <f>'Аксессуары (2)'!B632*1.8*($K$2/100+1)</f>
        <v>102.31174799999999</v>
      </c>
      <c r="C14" s="412">
        <f>'Аксессуары (2)'!C632*1.8*($K$2/100+1)</f>
        <v>113.67971999999999</v>
      </c>
      <c r="D14" s="412">
        <f>'Аксессуары (2)'!D632*1.8*($K$2/100+1)</f>
        <v>125.04769199999998</v>
      </c>
      <c r="E14" s="412">
        <f>'Аксессуары (2)'!E632*1.8*($K$2/100+1)</f>
        <v>136.41566399999999</v>
      </c>
      <c r="F14" s="412">
        <f>'Аксессуары (2)'!F632*1.8*($K$2/100+1)</f>
        <v>150.05723039999998</v>
      </c>
      <c r="G14" s="412">
        <f>'Аксессуары (2)'!G632*1.8*($K$2/100+1)</f>
        <v>163.69879679999997</v>
      </c>
      <c r="H14" s="631">
        <f>'Аксессуары (2)'!H632*1.8*($K$2/100+1)</f>
        <v>227.35943999999998</v>
      </c>
      <c r="I14" s="631">
        <f>'Аксессуары (2)'!I632*1.8*($K$2/100+1)</f>
        <v>250.09538399999997</v>
      </c>
      <c r="J14" s="685">
        <f>'Аксессуары (2)'!J632*1.8*($K$2/100+1)</f>
        <v>341.03915999999998</v>
      </c>
    </row>
    <row r="15" spans="1:13" ht="14.95" customHeight="1">
      <c r="A15" s="414" t="s">
        <v>2167</v>
      </c>
      <c r="B15" s="412">
        <f>'Аксессуары (2)'!B633*1.8*($K$2/100+1)</f>
        <v>102.31174799999999</v>
      </c>
      <c r="C15" s="412">
        <f>'Аксессуары (2)'!C633*1.8*($K$2/100+1)</f>
        <v>113.67971999999999</v>
      </c>
      <c r="D15" s="412">
        <f>'Аксессуары (2)'!D633*1.8*($K$2/100+1)</f>
        <v>125.04769199999998</v>
      </c>
      <c r="E15" s="412">
        <f>'Аксессуары (2)'!E633*1.8*($K$2/100+1)</f>
        <v>136.41566399999999</v>
      </c>
      <c r="F15" s="412">
        <f>'Аксессуары (2)'!F633*1.8*($K$2/100+1)</f>
        <v>150.05723039999998</v>
      </c>
      <c r="G15" s="412">
        <f>'Аксессуары (2)'!G633*1.8*($K$2/100+1)</f>
        <v>163.69879679999997</v>
      </c>
      <c r="H15" s="631">
        <f>'Аксессуары (2)'!H633*1.8*($K$2/100+1)</f>
        <v>227.35943999999998</v>
      </c>
      <c r="I15" s="631">
        <f>'Аксессуары (2)'!I633*1.8*($K$2/100+1)</f>
        <v>250.09538399999997</v>
      </c>
      <c r="J15" s="685">
        <f>'Аксессуары (2)'!J633*1.8*($K$2/100+1)</f>
        <v>341.03915999999998</v>
      </c>
    </row>
    <row r="16" spans="1:13" ht="14.95" customHeight="1">
      <c r="A16" s="414" t="s">
        <v>2168</v>
      </c>
      <c r="B16" s="412">
        <f>'Аксессуары (2)'!B634*1.8*($K$2/100+1)</f>
        <v>100.85229000000001</v>
      </c>
      <c r="C16" s="412">
        <f>'Аксессуары (2)'!C634*1.8*($K$2/100+1)</f>
        <v>112.0581</v>
      </c>
      <c r="D16" s="412">
        <f>'Аксессуары (2)'!D634*1.8*($K$2/100+1)</f>
        <v>123.26391</v>
      </c>
      <c r="E16" s="412">
        <f>'Аксессуары (2)'!E634*1.8*($K$2/100+1)</f>
        <v>134.46972</v>
      </c>
      <c r="F16" s="412">
        <f>'Аксессуары (2)'!F634*1.8*($K$2/100+1)</f>
        <v>147.91669199999998</v>
      </c>
      <c r="G16" s="412">
        <f>'Аксессуары (2)'!G634*1.8*($K$2/100+1)</f>
        <v>161.363664</v>
      </c>
      <c r="H16" s="631">
        <f>'Аксессуары (2)'!H634*1.8*($K$2/100+1)</f>
        <v>224.11619999999999</v>
      </c>
      <c r="I16" s="631">
        <f>'Аксессуары (2)'!I634*1.8*($K$2/100+1)</f>
        <v>246.52781999999999</v>
      </c>
      <c r="J16" s="685">
        <f>'Аксессуары (2)'!J634*1.8*($K$2/100+1)</f>
        <v>336.17429999999996</v>
      </c>
    </row>
    <row r="17" spans="1:10" ht="14.95" customHeight="1">
      <c r="A17" s="414" t="s">
        <v>2169</v>
      </c>
      <c r="B17" s="412">
        <f>'Аксессуары (2)'!B635*1.8*($K$2/100+1)</f>
        <v>105.473907</v>
      </c>
      <c r="C17" s="412">
        <f>'Аксессуары (2)'!C635*1.8*($K$2/100+1)</f>
        <v>117.19323</v>
      </c>
      <c r="D17" s="412">
        <f>'Аксессуары (2)'!D635*1.8*($K$2/100+1)</f>
        <v>128.912553</v>
      </c>
      <c r="E17" s="412">
        <f>'Аксессуары (2)'!E635*1.8*($K$2/100+1)</f>
        <v>140.63187600000001</v>
      </c>
      <c r="F17" s="412">
        <f>'Аксессуары (2)'!F635*1.8*($K$2/100+1)</f>
        <v>154.6950636</v>
      </c>
      <c r="G17" s="412">
        <f>'Аксессуары (2)'!G635*1.8*($K$2/100+1)</f>
        <v>168.75825119999999</v>
      </c>
      <c r="H17" s="631">
        <f>'Аксессуары (2)'!H635*1.8*($K$2/100+1)</f>
        <v>234.38646</v>
      </c>
      <c r="I17" s="631">
        <f>'Аксессуары (2)'!I635*1.8*($K$2/100+1)</f>
        <v>257.82510600000001</v>
      </c>
      <c r="J17" s="685">
        <f>'Аксессуары (2)'!J635*1.8*($K$2/100+1)</f>
        <v>351.57969000000003</v>
      </c>
    </row>
    <row r="18" spans="1:10" ht="14.95" customHeight="1">
      <c r="A18" s="414" t="s">
        <v>2170</v>
      </c>
      <c r="B18" s="412">
        <f>'Аксессуары (2)'!B636*1.8*($K$2/100+1)</f>
        <v>107.90633700000001</v>
      </c>
      <c r="C18" s="412">
        <f>'Аксессуары (2)'!C636*1.8*($K$2/100+1)</f>
        <v>119.89593000000001</v>
      </c>
      <c r="D18" s="412">
        <f>'Аксессуары (2)'!D636*1.8*($K$2/100+1)</f>
        <v>131.88552300000001</v>
      </c>
      <c r="E18" s="412">
        <f>'Аксессуары (2)'!E636*1.8*($K$2/100+1)</f>
        <v>143.87511599999999</v>
      </c>
      <c r="F18" s="412">
        <f>'Аксессуары (2)'!F636*1.8*($K$2/100+1)</f>
        <v>158.2626276</v>
      </c>
      <c r="G18" s="412">
        <f>'Аксессуары (2)'!G636*1.8*($K$2/100+1)</f>
        <v>172.65013919999996</v>
      </c>
      <c r="H18" s="631">
        <f>'Аксессуары (2)'!H636*1.8*($K$2/100+1)</f>
        <v>239.79186000000001</v>
      </c>
      <c r="I18" s="631">
        <f>'Аксессуары (2)'!I636*1.8*($K$2/100+1)</f>
        <v>263.77104600000001</v>
      </c>
      <c r="J18" s="685">
        <f>'Аксессуары (2)'!J636*1.8*($K$2/100+1)</f>
        <v>359.68779000000001</v>
      </c>
    </row>
    <row r="19" spans="1:10" ht="14.95" customHeight="1">
      <c r="A19" s="414" t="s">
        <v>2171</v>
      </c>
      <c r="B19" s="412">
        <f>'Аксессуары (2)'!B637*1.8*($K$2/100+1)</f>
        <v>109.36579500000001</v>
      </c>
      <c r="C19" s="412">
        <f>'Аксессуары (2)'!C637*1.8*($K$2/100+1)</f>
        <v>121.51755</v>
      </c>
      <c r="D19" s="412">
        <f>'Аксессуары (2)'!D637*1.8*($K$2/100+1)</f>
        <v>133.66930500000001</v>
      </c>
      <c r="E19" s="412">
        <f>'Аксессуары (2)'!E637*1.8*($K$2/100+1)</f>
        <v>145.82105999999999</v>
      </c>
      <c r="F19" s="412">
        <f>'Аксессуары (2)'!F637*1.8*($K$2/100+1)</f>
        <v>160.403166</v>
      </c>
      <c r="G19" s="412">
        <f>'Аксессуары (2)'!G637*1.8*($K$2/100+1)</f>
        <v>174.98527199999998</v>
      </c>
      <c r="H19" s="631">
        <f>'Аксессуары (2)'!H637*1.8*($K$2/100+1)</f>
        <v>243.0351</v>
      </c>
      <c r="I19" s="631">
        <f>'Аксессуары (2)'!I637*1.8*($K$2/100+1)</f>
        <v>267.33861000000002</v>
      </c>
      <c r="J19" s="685">
        <f>'Аксессуары (2)'!J637*1.8*($K$2/100+1)</f>
        <v>364.55264999999997</v>
      </c>
    </row>
    <row r="20" spans="1:10" ht="14.95" customHeight="1">
      <c r="A20" s="414" t="s">
        <v>2172</v>
      </c>
      <c r="B20" s="412">
        <f>'Аксессуары (2)'!B638*1.8*($K$2/100+1)</f>
        <v>112.52795399999998</v>
      </c>
      <c r="C20" s="412">
        <f>'Аксессуары (2)'!C638*1.8*($K$2/100+1)</f>
        <v>125.03105999999998</v>
      </c>
      <c r="D20" s="412">
        <f>'Аксессуары (2)'!D638*1.8*($K$2/100+1)</f>
        <v>137.534166</v>
      </c>
      <c r="E20" s="412">
        <f>'Аксессуары (2)'!E638*1.8*($K$2/100+1)</f>
        <v>150.03727199999997</v>
      </c>
      <c r="F20" s="412">
        <f>'Аксессуары (2)'!F638*1.8*($K$2/100+1)</f>
        <v>165.04099919999999</v>
      </c>
      <c r="G20" s="412">
        <f>'Аксессуары (2)'!G638*1.8*($K$2/100+1)</f>
        <v>180.04472639999997</v>
      </c>
      <c r="H20" s="631">
        <f>'Аксессуары (2)'!H638*1.8*($K$2/100+1)</f>
        <v>250.06211999999996</v>
      </c>
      <c r="I20" s="631">
        <f>'Аксессуары (2)'!I638*1.8*($K$2/100+1)</f>
        <v>275.068332</v>
      </c>
      <c r="J20" s="685">
        <f>'Аксессуары (2)'!J638*1.8*($K$2/100+1)</f>
        <v>375.09317999999996</v>
      </c>
    </row>
    <row r="21" spans="1:10" ht="14.95" customHeight="1">
      <c r="A21" s="414" t="s">
        <v>2173</v>
      </c>
      <c r="B21" s="412">
        <f>'Аксессуары (2)'!B639*1.8*($K$2/100+1)</f>
        <v>117.14957099999999</v>
      </c>
      <c r="C21" s="412">
        <f>'Аксессуары (2)'!C639*1.8*($K$2/100+1)</f>
        <v>130.16619</v>
      </c>
      <c r="D21" s="412">
        <f>'Аксессуары (2)'!D639*1.8*($K$2/100+1)</f>
        <v>143.18280899999999</v>
      </c>
      <c r="E21" s="412">
        <f>'Аксессуары (2)'!E639*1.8*($K$2/100+1)</f>
        <v>156.19942799999998</v>
      </c>
      <c r="F21" s="412">
        <f>'Аксессуары (2)'!F639*1.8*($K$2/100+1)</f>
        <v>171.8193708</v>
      </c>
      <c r="G21" s="412">
        <f>'Аксессуары (2)'!G639*1.8*($K$2/100+1)</f>
        <v>187.43931359999999</v>
      </c>
      <c r="H21" s="631">
        <f>'Аксессуары (2)'!H639*1.8*($K$2/100+1)</f>
        <v>260.33238</v>
      </c>
      <c r="I21" s="631">
        <f>'Аксессуары (2)'!I639*1.8*($K$2/100+1)</f>
        <v>286.36561799999998</v>
      </c>
      <c r="J21" s="685">
        <f>'Аксессуары (2)'!J639*1.8*($K$2/100+1)</f>
        <v>390.49856999999997</v>
      </c>
    </row>
    <row r="22" spans="1:10" ht="14.95" customHeight="1">
      <c r="A22" s="414" t="s">
        <v>2174</v>
      </c>
      <c r="B22" s="412">
        <f>'Аксессуары (2)'!B640*1.8*($K$2/100+1)</f>
        <v>108.39282300000002</v>
      </c>
      <c r="C22" s="412">
        <f>'Аксессуары (2)'!C640*1.8*($K$2/100+1)</f>
        <v>120.43647000000001</v>
      </c>
      <c r="D22" s="412">
        <f>'Аксессуары (2)'!D640*1.8*($K$2/100+1)</f>
        <v>132.48011700000001</v>
      </c>
      <c r="E22" s="412">
        <f>'Аксессуары (2)'!E640*1.8*($K$2/100+1)</f>
        <v>144.523764</v>
      </c>
      <c r="F22" s="412">
        <f>'Аксессуары (2)'!F640*1.8*($K$2/100+1)</f>
        <v>158.97614040000002</v>
      </c>
      <c r="G22" s="412">
        <f>'Аксессуары (2)'!G640*1.8*($K$2/100+1)</f>
        <v>173.42851679999998</v>
      </c>
      <c r="H22" s="631">
        <f>'Аксессуары (2)'!H640*1.8*($K$2/100+1)</f>
        <v>240.87294000000003</v>
      </c>
      <c r="I22" s="631">
        <f>'Аксессуары (2)'!I640*1.8*($K$2/100+1)</f>
        <v>264.96023400000001</v>
      </c>
      <c r="J22" s="685">
        <f>'Аксессуары (2)'!J640*1.8*($K$2/100+1)</f>
        <v>361.30941000000001</v>
      </c>
    </row>
    <row r="23" spans="1:10" ht="14.95" customHeight="1">
      <c r="A23" s="414" t="s">
        <v>2175</v>
      </c>
      <c r="B23" s="412">
        <f>'Аксессуары (2)'!B641*1.8*($K$2/100+1)</f>
        <v>117.39281400000002</v>
      </c>
      <c r="C23" s="412">
        <f>'Аксессуары (2)'!C641*1.8*($K$2/100+1)</f>
        <v>130.43646000000001</v>
      </c>
      <c r="D23" s="412">
        <f>'Аксессуары (2)'!D641*1.8*($K$2/100+1)</f>
        <v>143.48010600000001</v>
      </c>
      <c r="E23" s="412">
        <f>'Аксессуары (2)'!E641*1.8*($K$2/100+1)</f>
        <v>156.523752</v>
      </c>
      <c r="F23" s="412">
        <f>'Аксессуары (2)'!F641*1.8*($K$2/100+1)</f>
        <v>172.1761272</v>
      </c>
      <c r="G23" s="412">
        <f>'Аксессуары (2)'!G641*1.8*($K$2/100+1)</f>
        <v>187.82850239999999</v>
      </c>
      <c r="H23" s="631">
        <f>'Аксессуары (2)'!H641*1.8*($K$2/100+1)</f>
        <v>260.87292000000002</v>
      </c>
      <c r="I23" s="631">
        <f>'Аксессуары (2)'!I641*1.8*($K$2/100+1)</f>
        <v>286.96021200000001</v>
      </c>
      <c r="J23" s="685">
        <f>'Аксессуары (2)'!J641*1.8*($K$2/100+1)</f>
        <v>391.30937999999998</v>
      </c>
    </row>
    <row r="24" spans="1:10" ht="14.95" customHeight="1">
      <c r="A24" s="414" t="s">
        <v>2176</v>
      </c>
      <c r="B24" s="412">
        <f>'Аксессуары (2)'!B642*1.8*($K$2/100+1)</f>
        <v>123.473889</v>
      </c>
      <c r="C24" s="412">
        <f>'Аксессуары (2)'!C642*1.8*($K$2/100+1)</f>
        <v>137.19320999999999</v>
      </c>
      <c r="D24" s="412">
        <f>'Аксессуары (2)'!D642*1.8*($K$2/100+1)</f>
        <v>150.912531</v>
      </c>
      <c r="E24" s="412">
        <f>'Аксессуары (2)'!E642*1.8*($K$2/100+1)</f>
        <v>164.63185199999998</v>
      </c>
      <c r="F24" s="412">
        <f>'Аксессуары (2)'!F642*1.8*($K$2/100+1)</f>
        <v>181.09503719999998</v>
      </c>
      <c r="G24" s="412">
        <f>'Аксессуары (2)'!G642*1.8*($K$2/100+1)</f>
        <v>197.55822239999995</v>
      </c>
      <c r="H24" s="631">
        <f>'Аксессуары (2)'!H642*1.8*($K$2/100+1)</f>
        <v>274.38641999999999</v>
      </c>
      <c r="I24" s="631">
        <f>'Аксессуары (2)'!I642*1.8*($K$2/100+1)</f>
        <v>301.825062</v>
      </c>
      <c r="J24" s="685">
        <f>'Аксессуары (2)'!J642*1.8*($K$2/100+1)</f>
        <v>411.57963000000001</v>
      </c>
    </row>
    <row r="25" spans="1:10" ht="14.95" customHeight="1">
      <c r="A25" s="414" t="s">
        <v>2177</v>
      </c>
      <c r="B25" s="412">
        <f>'Аксессуары (2)'!B643*1.8*($K$2/100+1)</f>
        <v>138.311712</v>
      </c>
      <c r="C25" s="412">
        <f>'Аксессуары (2)'!C643*1.8*($K$2/100+1)</f>
        <v>153.67967999999999</v>
      </c>
      <c r="D25" s="412">
        <f>'Аксессуары (2)'!D643*1.8*($K$2/100+1)</f>
        <v>169.04764800000001</v>
      </c>
      <c r="E25" s="412">
        <f>'Аксессуары (2)'!E643*1.8*($K$2/100+1)</f>
        <v>184.41561599999997</v>
      </c>
      <c r="F25" s="412">
        <f>'Аксессуары (2)'!F643*1.8*($K$2/100+1)</f>
        <v>202.8571776</v>
      </c>
      <c r="G25" s="412">
        <f>'Аксессуары (2)'!G643*1.8*($K$2/100+1)</f>
        <v>221.2987392</v>
      </c>
      <c r="H25" s="631">
        <f>'Аксессуары (2)'!H643*1.8*($K$2/100+1)</f>
        <v>307.35935999999998</v>
      </c>
      <c r="I25" s="631">
        <f>'Аксессуары (2)'!I643*1.8*($K$2/100+1)</f>
        <v>338.09529600000002</v>
      </c>
      <c r="J25" s="685">
        <f>'Аксессуары (2)'!J643*1.8*($K$2/100+1)</f>
        <v>461.03903999999994</v>
      </c>
    </row>
    <row r="26" spans="1:10" ht="14.95" customHeight="1">
      <c r="A26" s="414" t="s">
        <v>2178</v>
      </c>
      <c r="B26" s="412">
        <f>'Аксессуары (2)'!B644*1.8*($K$2/100+1)</f>
        <v>111.55498200000001</v>
      </c>
      <c r="C26" s="412">
        <f>'Аксессуары (2)'!C644*1.8*($K$2/100+1)</f>
        <v>123.94998</v>
      </c>
      <c r="D26" s="412">
        <f>'Аксессуары (2)'!D644*1.8*($K$2/100+1)</f>
        <v>136.34497800000003</v>
      </c>
      <c r="E26" s="412">
        <f>'Аксессуары (2)'!E644*1.8*($K$2/100+1)</f>
        <v>148.73997600000001</v>
      </c>
      <c r="F26" s="412">
        <f>'Аксессуары (2)'!F644*1.8*($K$2/100+1)</f>
        <v>163.61397360000001</v>
      </c>
      <c r="G26" s="412">
        <f>'Аксессуары (2)'!G644*1.8*($K$2/100+1)</f>
        <v>178.4879712</v>
      </c>
      <c r="H26" s="631">
        <f>'Аксессуары (2)'!H644*1.8*($K$2/100+1)</f>
        <v>247.89995999999999</v>
      </c>
      <c r="I26" s="631">
        <f>'Аксессуары (2)'!I644*1.8*($K$2/100+1)</f>
        <v>272.68995600000005</v>
      </c>
      <c r="J26" s="685">
        <f>'Аксессуары (2)'!J644*1.8*($K$2/100+1)</f>
        <v>371.84993999999995</v>
      </c>
    </row>
    <row r="27" spans="1:10" ht="14.95" customHeight="1">
      <c r="A27" s="414" t="s">
        <v>2179</v>
      </c>
      <c r="B27" s="412">
        <f>'Аксессуары (2)'!B645*1.8*($K$2/100+1)</f>
        <v>115.20362700000001</v>
      </c>
      <c r="C27" s="412">
        <f>'Аксессуары (2)'!C645*1.8*($K$2/100+1)</f>
        <v>128.00403</v>
      </c>
      <c r="D27" s="412">
        <f>'Аксессуары (2)'!D645*1.8*($K$2/100+1)</f>
        <v>140.80443300000002</v>
      </c>
      <c r="E27" s="412">
        <f>'Аксессуары (2)'!E645*1.8*($K$2/100+1)</f>
        <v>153.60483600000001</v>
      </c>
      <c r="F27" s="412">
        <f>'Аксессуары (2)'!F645*1.8*($K$2/100+1)</f>
        <v>168.96531960000002</v>
      </c>
      <c r="G27" s="412">
        <f>'Аксессуары (2)'!G645*1.8*($K$2/100+1)</f>
        <v>184.3258032</v>
      </c>
      <c r="H27" s="631">
        <f>'Аксессуары (2)'!H645*1.8*($K$2/100+1)</f>
        <v>256.00806</v>
      </c>
      <c r="I27" s="631">
        <f>'Аксессуары (2)'!I645*1.8*($K$2/100+1)</f>
        <v>281.60886600000003</v>
      </c>
      <c r="J27" s="685">
        <f>'Аксессуары (2)'!J645*1.8*($K$2/100+1)</f>
        <v>384.01209000000006</v>
      </c>
    </row>
    <row r="28" spans="1:10" ht="14.95" customHeight="1">
      <c r="A28" s="414" t="s">
        <v>2180</v>
      </c>
      <c r="B28" s="412">
        <f>'Аксессуары (2)'!B646*1.8*($K$2/100+1)</f>
        <v>117.63605699999999</v>
      </c>
      <c r="C28" s="412">
        <f>'Аксессуары (2)'!C646*1.8*($K$2/100+1)</f>
        <v>130.70672999999999</v>
      </c>
      <c r="D28" s="412">
        <f>'Аксессуары (2)'!D646*1.8*($K$2/100+1)</f>
        <v>143.77740300000002</v>
      </c>
      <c r="E28" s="412">
        <f>'Аксессуары (2)'!E646*1.8*($K$2/100+1)</f>
        <v>156.84807600000002</v>
      </c>
      <c r="F28" s="412">
        <f>'Аксессуары (2)'!F646*1.8*($K$2/100+1)</f>
        <v>172.53288359999999</v>
      </c>
      <c r="G28" s="412">
        <f>'Аксессуары (2)'!G646*1.8*($K$2/100+1)</f>
        <v>188.21769119999999</v>
      </c>
      <c r="H28" s="631">
        <f>'Аксессуары (2)'!H646*1.8*($K$2/100+1)</f>
        <v>261.41345999999999</v>
      </c>
      <c r="I28" s="631">
        <f>'Аксессуары (2)'!I646*1.8*($K$2/100+1)</f>
        <v>287.55480600000004</v>
      </c>
      <c r="J28" s="685">
        <f>'Аксессуары (2)'!J646*1.8*($K$2/100+1)</f>
        <v>392.12018999999998</v>
      </c>
    </row>
    <row r="29" spans="1:10" ht="14.95" customHeight="1">
      <c r="A29" s="414" t="s">
        <v>2181</v>
      </c>
      <c r="B29" s="412">
        <f>'Аксессуары (2)'!B647*1.8*($K$2/100+1)</f>
        <v>122.500917</v>
      </c>
      <c r="C29" s="412">
        <f>'Аксессуары (2)'!C647*1.8*($K$2/100+1)</f>
        <v>136.11212999999998</v>
      </c>
      <c r="D29" s="412">
        <f>'Аксессуары (2)'!D647*1.8*($K$2/100+1)</f>
        <v>149.723343</v>
      </c>
      <c r="E29" s="412">
        <f>'Аксессуары (2)'!E647*1.8*($K$2/100+1)</f>
        <v>163.33455599999999</v>
      </c>
      <c r="F29" s="412">
        <f>'Аксессуары (2)'!F647*1.8*($K$2/100+1)</f>
        <v>179.6680116</v>
      </c>
      <c r="G29" s="412">
        <f>'Аксессуары (2)'!G647*1.8*($K$2/100+1)</f>
        <v>196.00146719999998</v>
      </c>
      <c r="H29" s="631">
        <f>'Аксессуары (2)'!H647*1.8*($K$2/100+1)</f>
        <v>272.22425999999996</v>
      </c>
      <c r="I29" s="631">
        <f>'Аксессуары (2)'!I647*1.8*($K$2/100+1)</f>
        <v>299.446686</v>
      </c>
      <c r="J29" s="685">
        <f>'Аксессуары (2)'!J647*1.8*($K$2/100+1)</f>
        <v>408.33638999999994</v>
      </c>
    </row>
    <row r="30" spans="1:10" ht="14.95" customHeight="1">
      <c r="A30" s="414" t="s">
        <v>2182</v>
      </c>
      <c r="B30" s="412">
        <f>'Аксессуары (2)'!B648*1.8*($K$2/100+1)</f>
        <v>129.55496399999998</v>
      </c>
      <c r="C30" s="412">
        <f>'Аксессуары (2)'!C648*1.8*($K$2/100+1)</f>
        <v>143.94995999999998</v>
      </c>
      <c r="D30" s="412">
        <f>'Аксессуары (2)'!D648*1.8*($K$2/100+1)</f>
        <v>158.344956</v>
      </c>
      <c r="E30" s="412">
        <f>'Аксессуары (2)'!E648*1.8*($K$2/100+1)</f>
        <v>172.73995199999999</v>
      </c>
      <c r="F30" s="412">
        <f>'Аксессуары (2)'!F648*1.8*($K$2/100+1)</f>
        <v>190.01394719999999</v>
      </c>
      <c r="G30" s="412">
        <f>'Аксессуары (2)'!G648*1.8*($K$2/100+1)</f>
        <v>207.28794239999996</v>
      </c>
      <c r="H30" s="631">
        <f>'Аксессуары (2)'!H648*1.8*($K$2/100+1)</f>
        <v>287.89991999999995</v>
      </c>
      <c r="I30" s="631">
        <f>'Аксессуары (2)'!I648*1.8*($K$2/100+1)</f>
        <v>316.68991199999999</v>
      </c>
      <c r="J30" s="685">
        <f>'Аксессуары (2)'!J648*1.8*($K$2/100+1)</f>
        <v>431.84987999999993</v>
      </c>
    </row>
    <row r="31" spans="1:10" ht="14.95" customHeight="1">
      <c r="A31" s="414" t="s">
        <v>2183</v>
      </c>
      <c r="B31" s="412">
        <f>'Аксессуары (2)'!B649*1.8*($K$2/100+1)</f>
        <v>153.87926399999998</v>
      </c>
      <c r="C31" s="412">
        <f>'Аксессуары (2)'!C649*1.8*($K$2/100+1)</f>
        <v>170.97695999999999</v>
      </c>
      <c r="D31" s="412">
        <f>'Аксессуары (2)'!D649*1.8*($K$2/100+1)</f>
        <v>188.074656</v>
      </c>
      <c r="E31" s="412">
        <f>'Аксессуары (2)'!E649*1.8*($K$2/100+1)</f>
        <v>205.17235199999999</v>
      </c>
      <c r="F31" s="412">
        <f>'Аксессуары (2)'!F649*1.8*($K$2/100+1)</f>
        <v>225.68958720000003</v>
      </c>
      <c r="G31" s="412">
        <f>'Аксессуары (2)'!G649*1.8*($K$2/100+1)</f>
        <v>246.20682239999996</v>
      </c>
      <c r="H31" s="631">
        <f>'Аксессуары (2)'!H649*1.8*($K$2/100+1)</f>
        <v>341.95391999999998</v>
      </c>
      <c r="I31" s="631">
        <f>'Аксессуары (2)'!I649*1.8*($K$2/100+1)</f>
        <v>376.14931200000001</v>
      </c>
      <c r="J31" s="685">
        <f>'Аксессуары (2)'!J649*1.8*($K$2/100+1)</f>
        <v>512.93088</v>
      </c>
    </row>
    <row r="32" spans="1:10" ht="14.95" customHeight="1">
      <c r="A32" s="414" t="s">
        <v>2184</v>
      </c>
      <c r="B32" s="412">
        <f>'Аксессуары (2)'!B650*1.8*($K$2/100+1)</f>
        <v>165.798171</v>
      </c>
      <c r="C32" s="412">
        <f>'Аксессуары (2)'!C650*1.8*($K$2/100+1)</f>
        <v>184.22019</v>
      </c>
      <c r="D32" s="412">
        <f>'Аксессуары (2)'!D650*1.8*($K$2/100+1)</f>
        <v>202.64220900000004</v>
      </c>
      <c r="E32" s="412">
        <f>'Аксессуары (2)'!E650*1.8*($K$2/100+1)</f>
        <v>221.06422799999999</v>
      </c>
      <c r="F32" s="412">
        <f>'Аксессуары (2)'!F650*1.8*($K$2/100+1)</f>
        <v>243.1706508</v>
      </c>
      <c r="G32" s="412">
        <f>'Аксессуары (2)'!G650*1.8*($K$2/100+1)</f>
        <v>265.27707359999994</v>
      </c>
      <c r="H32" s="631">
        <f>'Аксессуары (2)'!H650*1.8*($K$2/100+1)</f>
        <v>368.44038</v>
      </c>
      <c r="I32" s="631">
        <f>'Аксессуары (2)'!I650*1.8*($K$2/100+1)</f>
        <v>405.28441800000007</v>
      </c>
      <c r="J32" s="685">
        <f>'Аксессуары (2)'!J650*1.8*($K$2/100+1)</f>
        <v>552.66057000000001</v>
      </c>
    </row>
    <row r="33" spans="1:10" ht="14.95" customHeight="1">
      <c r="A33" s="414" t="s">
        <v>2185</v>
      </c>
      <c r="B33" s="412">
        <f>'Аксессуары (2)'!B651*1.8*($K$2/100+1)</f>
        <v>166.52789999999999</v>
      </c>
      <c r="C33" s="412">
        <f>'Аксессуары (2)'!C651*1.8*($K$2/100+1)</f>
        <v>185.03099999999998</v>
      </c>
      <c r="D33" s="412">
        <f>'Аксессуары (2)'!D651*1.8*($K$2/100+1)</f>
        <v>203.5341</v>
      </c>
      <c r="E33" s="412">
        <f>'Аксессуары (2)'!E651*1.8*($K$2/100+1)</f>
        <v>222.03719999999996</v>
      </c>
      <c r="F33" s="412">
        <f>'Аксессуары (2)'!F651*1.8*($K$2/100+1)</f>
        <v>244.24091999999999</v>
      </c>
      <c r="G33" s="412">
        <f>'Аксессуары (2)'!G651*1.8*($K$2/100+1)</f>
        <v>266.44463999999994</v>
      </c>
      <c r="H33" s="631">
        <f>'Аксессуары (2)'!H651*1.8*($K$2/100+1)</f>
        <v>370.06199999999995</v>
      </c>
      <c r="I33" s="631">
        <f>'Аксессуары (2)'!I651*1.8*($K$2/100+1)</f>
        <v>407.06819999999999</v>
      </c>
      <c r="J33" s="685">
        <f>'Аксессуары (2)'!J651*1.8*($K$2/100+1)</f>
        <v>555.09299999999985</v>
      </c>
    </row>
    <row r="34" spans="1:10" ht="14.95" customHeight="1">
      <c r="A34" s="414" t="s">
        <v>2186</v>
      </c>
      <c r="B34" s="412">
        <f>'Аксессуары (2)'!B652*1.8*($K$2/100+1)</f>
        <v>173.82518999999999</v>
      </c>
      <c r="C34" s="412">
        <f>'Аксессуары (2)'!C652*1.8*($K$2/100+1)</f>
        <v>193.13909999999998</v>
      </c>
      <c r="D34" s="412">
        <f>'Аксессуары (2)'!D652*1.8*($K$2/100+1)</f>
        <v>212.45300999999998</v>
      </c>
      <c r="E34" s="412">
        <f>'Аксессуары (2)'!E652*1.8*($K$2/100+1)</f>
        <v>231.76691999999997</v>
      </c>
      <c r="F34" s="412">
        <f>'Аксессуары (2)'!F652*1.8*($K$2/100+1)</f>
        <v>254.94361199999997</v>
      </c>
      <c r="G34" s="412">
        <f>'Аксессуары (2)'!G652*1.8*($K$2/100+1)</f>
        <v>278.12030399999998</v>
      </c>
      <c r="H34" s="631">
        <f>'Аксессуары (2)'!H652*1.8*($K$2/100+1)</f>
        <v>386.27819999999997</v>
      </c>
      <c r="I34" s="631">
        <f>'Аксессуары (2)'!I652*1.8*($K$2/100+1)</f>
        <v>424.90601999999996</v>
      </c>
      <c r="J34" s="685">
        <f>'Аксессуары (2)'!J652*1.8*($K$2/100+1)</f>
        <v>579.41730000000007</v>
      </c>
    </row>
    <row r="35" spans="1:10" ht="14.95" customHeight="1">
      <c r="A35" s="414" t="s">
        <v>2187</v>
      </c>
      <c r="B35" s="412">
        <f>'Аксессуары (2)'!B653*1.8*($K$2/100+1)</f>
        <v>178.69004999999999</v>
      </c>
      <c r="C35" s="412">
        <f>'Аксессуары (2)'!C653*1.8*($K$2/100+1)</f>
        <v>198.5445</v>
      </c>
      <c r="D35" s="412">
        <f>'Аксессуары (2)'!D653*1.8*($K$2/100+1)</f>
        <v>218.39894999999999</v>
      </c>
      <c r="E35" s="412">
        <f>'Аксессуары (2)'!E653*1.8*($K$2/100+1)</f>
        <v>238.25339999999997</v>
      </c>
      <c r="F35" s="412">
        <f>'Аксессуары (2)'!F653*1.8*($K$2/100+1)</f>
        <v>262.07873999999998</v>
      </c>
      <c r="G35" s="412">
        <f>'Аксессуары (2)'!G653*1.8*($K$2/100+1)</f>
        <v>285.90407999999996</v>
      </c>
      <c r="H35" s="631">
        <f>'Аксессуары (2)'!H653*1.8*($K$2/100+1)</f>
        <v>397.089</v>
      </c>
      <c r="I35" s="631">
        <f>'Аксессуары (2)'!I653*1.8*($K$2/100+1)</f>
        <v>436.79789999999997</v>
      </c>
      <c r="J35" s="685">
        <f>'Аксессуары (2)'!J653*1.8*($K$2/100+1)</f>
        <v>595.63349999999991</v>
      </c>
    </row>
    <row r="36" spans="1:10" ht="14.95" customHeight="1">
      <c r="A36" s="414" t="s">
        <v>2188</v>
      </c>
      <c r="B36" s="412">
        <f>'Аксессуары (2)'!B654*1.8*($K$2/100+1)</f>
        <v>190.85220000000001</v>
      </c>
      <c r="C36" s="412">
        <f>'Аксессуары (2)'!C654*1.8*($K$2/100+1)</f>
        <v>212.05799999999999</v>
      </c>
      <c r="D36" s="412">
        <f>'Аксессуары (2)'!D654*1.8*($K$2/100+1)</f>
        <v>233.2638</v>
      </c>
      <c r="E36" s="412">
        <f>'Аксессуары (2)'!E654*1.8*($K$2/100+1)</f>
        <v>254.46960000000001</v>
      </c>
      <c r="F36" s="412">
        <f>'Аксессуары (2)'!F654*1.8*($K$2/100+1)</f>
        <v>279.91656</v>
      </c>
      <c r="G36" s="412">
        <f>'Аксессуары (2)'!G654*1.8*($K$2/100+1)</f>
        <v>305.36351999999999</v>
      </c>
      <c r="H36" s="631">
        <f>'Аксессуары (2)'!H654*1.8*($K$2/100+1)</f>
        <v>424.11599999999999</v>
      </c>
      <c r="I36" s="631">
        <f>'Аксессуары (2)'!I654*1.8*($K$2/100+1)</f>
        <v>466.52760000000001</v>
      </c>
      <c r="J36" s="685">
        <f>'Аксессуары (2)'!J654*1.8*($K$2/100+1)</f>
        <v>636.17400000000009</v>
      </c>
    </row>
    <row r="37" spans="1:10" ht="14.95" customHeight="1">
      <c r="A37" s="414" t="s">
        <v>2189</v>
      </c>
      <c r="B37" s="412">
        <f>'Аксессуары (2)'!B655*1.8*($K$2/100+1)</f>
        <v>215.17649999999998</v>
      </c>
      <c r="C37" s="412">
        <f>'Аксессуары (2)'!C655*1.8*($K$2/100+1)</f>
        <v>239.08500000000001</v>
      </c>
      <c r="D37" s="412">
        <f>'Аксессуары (2)'!D655*1.8*($K$2/100+1)</f>
        <v>262.99349999999998</v>
      </c>
      <c r="E37" s="412">
        <f>'Аксессуары (2)'!E655*1.8*($K$2/100+1)</f>
        <v>286.90199999999999</v>
      </c>
      <c r="F37" s="412">
        <f>'Аксессуары (2)'!F655*1.8*($K$2/100+1)</f>
        <v>315.59219999999999</v>
      </c>
      <c r="G37" s="412">
        <f>'Аксессуары (2)'!G655*1.8*($K$2/100+1)</f>
        <v>344.28239999999994</v>
      </c>
      <c r="H37" s="631">
        <f>'Аксессуары (2)'!H655*1.8*($K$2/100+1)</f>
        <v>478.17</v>
      </c>
      <c r="I37" s="631">
        <f>'Аксессуары (2)'!I655*1.8*($K$2/100+1)</f>
        <v>525.98699999999997</v>
      </c>
      <c r="J37" s="685">
        <f>'Аксессуары (2)'!J655*1.8*($K$2/100+1)</f>
        <v>717.255</v>
      </c>
    </row>
    <row r="38" spans="1:10" ht="14.95" customHeight="1">
      <c r="A38" s="414" t="s">
        <v>2190</v>
      </c>
      <c r="B38" s="412">
        <f>'Аксессуары (2)'!B656*1.8*($K$2/100+1)</f>
        <v>117.8793</v>
      </c>
      <c r="C38" s="412">
        <f>'Аксессуары (2)'!C656*1.8*($K$2/100+1)</f>
        <v>130.977</v>
      </c>
      <c r="D38" s="412">
        <f>'Аксессуары (2)'!D656*1.8*($K$2/100+1)</f>
        <v>144.07470000000001</v>
      </c>
      <c r="E38" s="412">
        <f>'Аксессуары (2)'!E656*1.8*($K$2/100+1)</f>
        <v>157.17239999999998</v>
      </c>
      <c r="F38" s="412">
        <f>'Аксессуары (2)'!F656*1.8*($K$2/100+1)</f>
        <v>172.88964000000001</v>
      </c>
      <c r="G38" s="412">
        <f>'Аксессуары (2)'!G656*1.8*($K$2/100+1)</f>
        <v>188.60687999999999</v>
      </c>
      <c r="H38" s="631">
        <f>'Аксессуары (2)'!H656*1.8*($K$2/100+1)</f>
        <v>261.95400000000001</v>
      </c>
      <c r="I38" s="631">
        <f>'Аксессуары (2)'!I656*1.8*($K$2/100+1)</f>
        <v>288.14940000000001</v>
      </c>
      <c r="J38" s="685">
        <f>'Аксессуары (2)'!J656*1.8*($K$2/100+1)</f>
        <v>392.93099999999998</v>
      </c>
    </row>
    <row r="39" spans="1:10" ht="14.95" customHeight="1">
      <c r="A39" s="414" t="s">
        <v>2191</v>
      </c>
      <c r="B39" s="412">
        <f>'Аксессуары (2)'!B657*1.8*($K$2/100+1)</f>
        <v>122.74416000000002</v>
      </c>
      <c r="C39" s="412">
        <f>'Аксессуары (2)'!C657*1.8*($K$2/100+1)</f>
        <v>136.38239999999999</v>
      </c>
      <c r="D39" s="412">
        <f>'Аксессуары (2)'!D657*1.8*($K$2/100+1)</f>
        <v>150.02064000000001</v>
      </c>
      <c r="E39" s="412">
        <f>'Аксессуары (2)'!E657*1.8*($K$2/100+1)</f>
        <v>163.65888000000001</v>
      </c>
      <c r="F39" s="412">
        <f>'Аксессуары (2)'!F657*1.8*($K$2/100+1)</f>
        <v>180.02476800000002</v>
      </c>
      <c r="G39" s="412">
        <f>'Аксессуары (2)'!G657*1.8*($K$2/100+1)</f>
        <v>196.39065599999998</v>
      </c>
      <c r="H39" s="631">
        <f>'Аксессуары (2)'!H657*1.8*($K$2/100+1)</f>
        <v>272.76479999999998</v>
      </c>
      <c r="I39" s="631">
        <f>'Аксессуары (2)'!I657*1.8*($K$2/100+1)</f>
        <v>300.04128000000003</v>
      </c>
      <c r="J39" s="685">
        <f>'Аксессуары (2)'!J657*1.8*($K$2/100+1)</f>
        <v>409.14719999999994</v>
      </c>
    </row>
    <row r="40" spans="1:10" ht="14.95" customHeight="1">
      <c r="A40" s="414" t="s">
        <v>2192</v>
      </c>
      <c r="B40" s="412">
        <f>'Аксессуары (2)'!B658*1.8*($K$2/100+1)</f>
        <v>130.04145</v>
      </c>
      <c r="C40" s="412">
        <f>'Аксессуары (2)'!C658*1.8*($K$2/100+1)</f>
        <v>144.49049999999997</v>
      </c>
      <c r="D40" s="412">
        <f>'Аксессуары (2)'!D658*1.8*($K$2/100+1)</f>
        <v>158.93955</v>
      </c>
      <c r="E40" s="412">
        <f>'Аксессуары (2)'!E658*1.8*($K$2/100+1)</f>
        <v>173.38859999999997</v>
      </c>
      <c r="F40" s="412">
        <f>'Аксессуары (2)'!F658*1.8*($K$2/100+1)</f>
        <v>190.72746000000001</v>
      </c>
      <c r="G40" s="412">
        <f>'Аксессуары (2)'!G658*1.8*($K$2/100+1)</f>
        <v>208.06631999999999</v>
      </c>
      <c r="H40" s="631">
        <f>'Аксессуары (2)'!H658*1.8*($K$2/100+1)</f>
        <v>288.98099999999994</v>
      </c>
      <c r="I40" s="631">
        <f>'Аксессуары (2)'!I658*1.8*($K$2/100+1)</f>
        <v>317.87909999999999</v>
      </c>
      <c r="J40" s="685">
        <f>'Аксессуары (2)'!J658*1.8*($K$2/100+1)</f>
        <v>433.47149999999993</v>
      </c>
    </row>
    <row r="41" spans="1:10" ht="14.95" customHeight="1">
      <c r="A41" s="414" t="s">
        <v>2193</v>
      </c>
      <c r="B41" s="412">
        <f>'Аксессуары (2)'!B659*1.8*($K$2/100+1)</f>
        <v>132.47388000000001</v>
      </c>
      <c r="C41" s="412">
        <f>'Аксессуары (2)'!C659*1.8*($K$2/100+1)</f>
        <v>147.19320000000002</v>
      </c>
      <c r="D41" s="412">
        <f>'Аксессуары (2)'!D659*1.8*($K$2/100+1)</f>
        <v>161.91252</v>
      </c>
      <c r="E41" s="412">
        <f>'Аксессуары (2)'!E659*1.8*($K$2/100+1)</f>
        <v>176.63183999999998</v>
      </c>
      <c r="F41" s="412">
        <f>'Аксессуары (2)'!F659*1.8*($K$2/100+1)</f>
        <v>194.29502400000001</v>
      </c>
      <c r="G41" s="412">
        <f>'Аксессуары (2)'!G659*1.8*($K$2/100+1)</f>
        <v>211.95820799999998</v>
      </c>
      <c r="H41" s="631">
        <f>'Аксессуары (2)'!H659*1.8*($K$2/100+1)</f>
        <v>294.38640000000004</v>
      </c>
      <c r="I41" s="631">
        <f>'Аксессуары (2)'!I659*1.8*($K$2/100+1)</f>
        <v>323.82504</v>
      </c>
      <c r="J41" s="685">
        <f>'Аксессуары (2)'!J659*1.8*($K$2/100+1)</f>
        <v>441.57960000000003</v>
      </c>
    </row>
    <row r="42" spans="1:10" ht="14.95" customHeight="1">
      <c r="A42" s="414" t="s">
        <v>2194</v>
      </c>
      <c r="B42" s="412">
        <f>'Аксессуары (2)'!B660*1.8*($K$2/100+1)</f>
        <v>142.20360000000002</v>
      </c>
      <c r="C42" s="412">
        <f>'Аксессуары (2)'!C660*1.8*($K$2/100+1)</f>
        <v>158.00399999999999</v>
      </c>
      <c r="D42" s="412">
        <f>'Аксессуары (2)'!D660*1.8*($K$2/100+1)</f>
        <v>173.80440000000004</v>
      </c>
      <c r="E42" s="412">
        <f>'Аксессуары (2)'!E660*1.8*($K$2/100+1)</f>
        <v>189.60480000000001</v>
      </c>
      <c r="F42" s="412">
        <f>'Аксессуары (2)'!F660*1.8*($K$2/100+1)</f>
        <v>208.56528</v>
      </c>
      <c r="G42" s="412">
        <f>'Аксессуары (2)'!G660*1.8*($K$2/100+1)</f>
        <v>227.52576000000002</v>
      </c>
      <c r="H42" s="631">
        <f>'Аксессуары (2)'!H660*1.8*($K$2/100+1)</f>
        <v>316.00799999999998</v>
      </c>
      <c r="I42" s="631">
        <f>'Аксессуары (2)'!I660*1.8*($K$2/100+1)</f>
        <v>347.60880000000009</v>
      </c>
      <c r="J42" s="685">
        <f>'Аксессуары (2)'!J660*1.8*($K$2/100+1)</f>
        <v>474.012</v>
      </c>
    </row>
    <row r="43" spans="1:10" ht="14.95" customHeight="1">
      <c r="A43" s="414" t="s">
        <v>2195</v>
      </c>
      <c r="B43" s="412">
        <f>'Аксессуары (2)'!B661*1.8*($K$2/100+1)</f>
        <v>154.36574999999999</v>
      </c>
      <c r="C43" s="412">
        <f>'Аксессуары (2)'!C661*1.8*($K$2/100+1)</f>
        <v>171.51749999999998</v>
      </c>
      <c r="D43" s="412">
        <f>'Аксессуары (2)'!D661*1.8*($K$2/100+1)</f>
        <v>188.66925000000001</v>
      </c>
      <c r="E43" s="412">
        <f>'Аксессуары (2)'!E661*1.8*($K$2/100+1)</f>
        <v>205.82099999999997</v>
      </c>
      <c r="F43" s="412">
        <f>'Аксессуары (2)'!F661*1.8*($K$2/100+1)</f>
        <v>226.40309999999999</v>
      </c>
      <c r="G43" s="412">
        <f>'Аксессуары (2)'!G661*1.8*($K$2/100+1)</f>
        <v>246.98519999999996</v>
      </c>
      <c r="H43" s="631">
        <f>'Аксессуары (2)'!H661*1.8*($K$2/100+1)</f>
        <v>343.03499999999997</v>
      </c>
      <c r="I43" s="631">
        <f>'Аксессуары (2)'!I661*1.8*($K$2/100+1)</f>
        <v>377.33850000000001</v>
      </c>
      <c r="J43" s="685">
        <f>'Аксессуары (2)'!J661*1.8*($K$2/100+1)</f>
        <v>514.55250000000001</v>
      </c>
    </row>
    <row r="44" spans="1:10" ht="14.95" customHeight="1">
      <c r="A44" s="414" t="s">
        <v>2196</v>
      </c>
      <c r="B44" s="412">
        <f>'Аксессуары (2)'!B662*1.8*($K$2/100+1)</f>
        <v>166.52789999999999</v>
      </c>
      <c r="C44" s="412">
        <f>'Аксессуары (2)'!C662*1.8*($K$2/100+1)</f>
        <v>185.03099999999998</v>
      </c>
      <c r="D44" s="412">
        <f>'Аксессуары (2)'!D662*1.8*($K$2/100+1)</f>
        <v>203.5341</v>
      </c>
      <c r="E44" s="412">
        <f>'Аксессуары (2)'!E662*1.8*($K$2/100+1)</f>
        <v>222.03719999999996</v>
      </c>
      <c r="F44" s="412">
        <f>'Аксессуары (2)'!F662*1.8*($K$2/100+1)</f>
        <v>244.24091999999999</v>
      </c>
      <c r="G44" s="412">
        <f>'Аксессуары (2)'!G662*1.8*($K$2/100+1)</f>
        <v>266.44463999999994</v>
      </c>
      <c r="H44" s="631">
        <f>'Аксессуары (2)'!H662*1.8*($K$2/100+1)</f>
        <v>370.06199999999995</v>
      </c>
      <c r="I44" s="631">
        <f>'Аксессуары (2)'!I662*1.8*($K$2/100+1)</f>
        <v>407.06819999999999</v>
      </c>
      <c r="J44" s="685">
        <f>'Аксессуары (2)'!J662*1.8*($K$2/100+1)</f>
        <v>555.09299999999985</v>
      </c>
    </row>
    <row r="45" spans="1:10" ht="14.95" customHeight="1">
      <c r="A45" s="414" t="s">
        <v>2197</v>
      </c>
      <c r="B45" s="412">
        <f>'Аксессуары (2)'!B663*1.8*($K$2/100+1)</f>
        <v>123.96037500000001</v>
      </c>
      <c r="C45" s="412">
        <f>'Аксессуары (2)'!C663*1.8*($K$2/100+1)</f>
        <v>137.73375000000001</v>
      </c>
      <c r="D45" s="412">
        <f>'Аксессуары (2)'!D663*1.8*($K$2/100+1)</f>
        <v>151.507125</v>
      </c>
      <c r="E45" s="412">
        <f>'Аксессуары (2)'!E663*1.8*($K$2/100+1)</f>
        <v>165.28049999999999</v>
      </c>
      <c r="F45" s="412">
        <f>'Аксессуары (2)'!F663*1.8*($K$2/100+1)</f>
        <v>181.80855</v>
      </c>
      <c r="G45" s="412">
        <f>'Аксессуары (2)'!G663*1.8*($K$2/100+1)</f>
        <v>198.3366</v>
      </c>
      <c r="H45" s="631">
        <f>'Аксессуары (2)'!H663*1.8*($K$2/100+1)</f>
        <v>275.46750000000003</v>
      </c>
      <c r="I45" s="631">
        <f>'Аксессуары (2)'!I663*1.8*($K$2/100+1)</f>
        <v>303.01425</v>
      </c>
      <c r="J45" s="685">
        <f>'Аксессуары (2)'!J663*1.8*($K$2/100+1)</f>
        <v>413.20125000000002</v>
      </c>
    </row>
    <row r="46" spans="1:10" ht="14.95" customHeight="1">
      <c r="A46" s="414" t="s">
        <v>2198</v>
      </c>
      <c r="B46" s="412">
        <f>'Аксессуары (2)'!B664*1.8*($K$2/100+1)</f>
        <v>130.04145</v>
      </c>
      <c r="C46" s="412">
        <f>'Аксессуары (2)'!C664*1.8*($K$2/100+1)</f>
        <v>144.49049999999997</v>
      </c>
      <c r="D46" s="412">
        <f>'Аксессуары (2)'!D664*1.8*($K$2/100+1)</f>
        <v>158.93955</v>
      </c>
      <c r="E46" s="412">
        <f>'Аксессуары (2)'!E664*1.8*($K$2/100+1)</f>
        <v>173.38859999999997</v>
      </c>
      <c r="F46" s="412">
        <f>'Аксессуары (2)'!F664*1.8*($K$2/100+1)</f>
        <v>190.72746000000001</v>
      </c>
      <c r="G46" s="412">
        <f>'Аксессуары (2)'!G664*1.8*($K$2/100+1)</f>
        <v>208.06631999999999</v>
      </c>
      <c r="H46" s="631">
        <f>'Аксессуары (2)'!H664*1.8*($K$2/100+1)</f>
        <v>288.98099999999994</v>
      </c>
      <c r="I46" s="631">
        <f>'Аксессуары (2)'!I664*1.8*($K$2/100+1)</f>
        <v>317.87909999999999</v>
      </c>
      <c r="J46" s="685">
        <f>'Аксессуары (2)'!J664*1.8*($K$2/100+1)</f>
        <v>433.47149999999993</v>
      </c>
    </row>
    <row r="47" spans="1:10" ht="14.95" customHeight="1">
      <c r="A47" s="414" t="s">
        <v>2199</v>
      </c>
      <c r="B47" s="412">
        <f>'Аксессуары (2)'!B665*1.8*($K$2/100+1)</f>
        <v>142.20360000000002</v>
      </c>
      <c r="C47" s="412">
        <f>'Аксессуары (2)'!C665*1.8*($K$2/100+1)</f>
        <v>158.00399999999999</v>
      </c>
      <c r="D47" s="412">
        <f>'Аксессуары (2)'!D665*1.8*($K$2/100+1)</f>
        <v>173.80440000000004</v>
      </c>
      <c r="E47" s="412">
        <f>'Аксессуары (2)'!E665*1.8*($K$2/100+1)</f>
        <v>189.60480000000001</v>
      </c>
      <c r="F47" s="412">
        <f>'Аксессуары (2)'!F665*1.8*($K$2/100+1)</f>
        <v>208.56528</v>
      </c>
      <c r="G47" s="412">
        <f>'Аксессуары (2)'!G665*1.8*($K$2/100+1)</f>
        <v>227.52576000000002</v>
      </c>
      <c r="H47" s="631">
        <f>'Аксессуары (2)'!H665*1.8*($K$2/100+1)</f>
        <v>316.00799999999998</v>
      </c>
      <c r="I47" s="631">
        <f>'Аксессуары (2)'!I665*1.8*($K$2/100+1)</f>
        <v>347.60880000000009</v>
      </c>
      <c r="J47" s="685">
        <f>'Аксессуары (2)'!J665*1.8*($K$2/100+1)</f>
        <v>474.012</v>
      </c>
    </row>
    <row r="48" spans="1:10" ht="14.95" customHeight="1">
      <c r="A48" s="414" t="s">
        <v>2200</v>
      </c>
      <c r="B48" s="412">
        <f>'Аксессуары (2)'!B666*1.8*($K$2/100+1)</f>
        <v>142.20360000000002</v>
      </c>
      <c r="C48" s="412">
        <f>'Аксессуары (2)'!C666*1.8*($K$2/100+1)</f>
        <v>158.00399999999999</v>
      </c>
      <c r="D48" s="412">
        <f>'Аксессуары (2)'!D666*1.8*($K$2/100+1)</f>
        <v>173.80440000000004</v>
      </c>
      <c r="E48" s="412">
        <f>'Аксессуары (2)'!E666*1.8*($K$2/100+1)</f>
        <v>189.60480000000001</v>
      </c>
      <c r="F48" s="412">
        <f>'Аксессуары (2)'!F666*1.8*($K$2/100+1)</f>
        <v>208.56528</v>
      </c>
      <c r="G48" s="412">
        <f>'Аксессуары (2)'!G666*1.8*($K$2/100+1)</f>
        <v>227.52576000000002</v>
      </c>
      <c r="H48" s="631">
        <f>'Аксессуары (2)'!H666*1.8*($K$2/100+1)</f>
        <v>316.00799999999998</v>
      </c>
      <c r="I48" s="631">
        <f>'Аксессуары (2)'!I666*1.8*($K$2/100+1)</f>
        <v>347.60880000000009</v>
      </c>
      <c r="J48" s="685">
        <f>'Аксессуары (2)'!J666*1.8*($K$2/100+1)</f>
        <v>474.012</v>
      </c>
    </row>
    <row r="49" spans="1:10" ht="14.95" customHeight="1">
      <c r="A49" s="414" t="s">
        <v>2201</v>
      </c>
      <c r="B49" s="412">
        <f>'Аксессуары (2)'!B667*1.8*($K$2/100+1)</f>
        <v>154.608993</v>
      </c>
      <c r="C49" s="412">
        <f>'Аксессуары (2)'!C667*1.8*($K$2/100+1)</f>
        <v>171.78776999999999</v>
      </c>
      <c r="D49" s="412">
        <f>'Аксессуары (2)'!D667*1.8*($K$2/100+1)</f>
        <v>188.96654699999999</v>
      </c>
      <c r="E49" s="412">
        <f>'Аксессуары (2)'!E667*1.8*($K$2/100+1)</f>
        <v>206.14532399999999</v>
      </c>
      <c r="F49" s="412">
        <f>'Аксессуары (2)'!F667*1.8*($K$2/100+1)</f>
        <v>226.75985639999999</v>
      </c>
      <c r="G49" s="412">
        <f>'Аксессуары (2)'!G667*1.8*($K$2/100+1)</f>
        <v>247.37438879999996</v>
      </c>
      <c r="H49" s="631">
        <f>'Аксессуары (2)'!H667*1.8*($K$2/100+1)</f>
        <v>343.57553999999999</v>
      </c>
      <c r="I49" s="631">
        <f>'Аксессуары (2)'!I667*1.8*($K$2/100+1)</f>
        <v>377.93309399999998</v>
      </c>
      <c r="J49" s="685">
        <f>'Аксессуары (2)'!J667*1.8*($K$2/100+1)</f>
        <v>515.36330999999996</v>
      </c>
    </row>
    <row r="50" spans="1:10" ht="14.95" customHeight="1">
      <c r="A50" s="414" t="s">
        <v>2202</v>
      </c>
      <c r="B50" s="412">
        <f>'Аксессуары (2)'!B668*1.8*($K$2/100+1)</f>
        <v>154.608993</v>
      </c>
      <c r="C50" s="412">
        <f>'Аксессуары (2)'!C668*1.8*($K$2/100+1)</f>
        <v>171.78776999999999</v>
      </c>
      <c r="D50" s="412">
        <f>'Аксессуары (2)'!D668*1.8*($K$2/100+1)</f>
        <v>188.96654699999999</v>
      </c>
      <c r="E50" s="412">
        <f>'Аксессуары (2)'!E668*1.8*($K$2/100+1)</f>
        <v>206.14532399999999</v>
      </c>
      <c r="F50" s="412">
        <f>'Аксессуары (2)'!F668*1.8*($K$2/100+1)</f>
        <v>226.75985639999999</v>
      </c>
      <c r="G50" s="412">
        <f>'Аксессуары (2)'!G668*1.8*($K$2/100+1)</f>
        <v>247.37438879999996</v>
      </c>
      <c r="H50" s="631">
        <f>'Аксессуары (2)'!H668*1.8*($K$2/100+1)</f>
        <v>343.57553999999999</v>
      </c>
      <c r="I50" s="631">
        <f>'Аксессуары (2)'!I668*1.8*($K$2/100+1)</f>
        <v>377.93309399999998</v>
      </c>
      <c r="J50" s="685">
        <f>'Аксессуары (2)'!J668*1.8*($K$2/100+1)</f>
        <v>515.36330999999996</v>
      </c>
    </row>
    <row r="51" spans="1:10" ht="14.95" customHeight="1">
      <c r="A51" s="414" t="s">
        <v>2203</v>
      </c>
      <c r="B51" s="412">
        <f>'Аксессуары (2)'!B669*1.8*($K$2/100+1)</f>
        <v>215.41974299999995</v>
      </c>
      <c r="C51" s="412">
        <f>'Аксессуары (2)'!C669*1.8*($K$2/100+1)</f>
        <v>239.35526999999996</v>
      </c>
      <c r="D51" s="412">
        <f>'Аксессуары (2)'!D669*1.8*($K$2/100+1)</f>
        <v>263.290797</v>
      </c>
      <c r="E51" s="412">
        <f>'Аксессуары (2)'!E669*1.8*($K$2/100+1)</f>
        <v>287.22632399999998</v>
      </c>
      <c r="F51" s="412">
        <f>'Аксессуары (2)'!F669*1.8*($K$2/100+1)</f>
        <v>315.94895639999993</v>
      </c>
      <c r="G51" s="412">
        <f>'Аксессуары (2)'!G669*1.8*($K$2/100+1)</f>
        <v>344.67158879999994</v>
      </c>
      <c r="H51" s="631">
        <f>'Аксессуары (2)'!H669*1.8*($K$2/100+1)</f>
        <v>478.71053999999992</v>
      </c>
      <c r="I51" s="631">
        <f>'Аксессуары (2)'!I669*1.8*($K$2/100+1)</f>
        <v>526.581594</v>
      </c>
      <c r="J51" s="685">
        <f>'Аксессуары (2)'!J669*1.8*($K$2/100+1)</f>
        <v>718.06580999999983</v>
      </c>
    </row>
    <row r="52" spans="1:10" ht="14.95" customHeight="1">
      <c r="A52" s="414" t="s">
        <v>2204</v>
      </c>
      <c r="B52" s="412">
        <f>'Аксессуары (2)'!B670*1.8*($K$2/100+1)</f>
        <v>130.284693</v>
      </c>
      <c r="C52" s="412">
        <f>'Аксессуары (2)'!C670*1.8*($K$2/100+1)</f>
        <v>144.76077000000001</v>
      </c>
      <c r="D52" s="412">
        <f>'Аксессуары (2)'!D670*1.8*($K$2/100+1)</f>
        <v>159.23684700000001</v>
      </c>
      <c r="E52" s="412">
        <f>'Аксессуары (2)'!E670*1.8*($K$2/100+1)</f>
        <v>173.71292399999999</v>
      </c>
      <c r="F52" s="412">
        <f>'Аксессуары (2)'!F670*1.8*($K$2/100+1)</f>
        <v>191.0842164</v>
      </c>
      <c r="G52" s="412">
        <f>'Аксессуары (2)'!G670*1.8*($K$2/100+1)</f>
        <v>208.45550879999999</v>
      </c>
      <c r="H52" s="631">
        <f>'Аксессуары (2)'!H670*1.8*($K$2/100+1)</f>
        <v>289.52154000000002</v>
      </c>
      <c r="I52" s="631">
        <f>'Аксессуары (2)'!I670*1.8*($K$2/100+1)</f>
        <v>318.47369400000002</v>
      </c>
      <c r="J52" s="685">
        <f>'Аксессуары (2)'!J670*1.8*($K$2/100+1)</f>
        <v>434.28231000000005</v>
      </c>
    </row>
    <row r="53" spans="1:10" ht="14.95" customHeight="1">
      <c r="A53" s="414" t="s">
        <v>2205</v>
      </c>
      <c r="B53" s="412">
        <f>'Аксессуары (2)'!B671*1.8*($K$2/100+1)</f>
        <v>137.58198299999998</v>
      </c>
      <c r="C53" s="412">
        <f>'Аксессуары (2)'!C671*1.8*($K$2/100+1)</f>
        <v>152.86886999999999</v>
      </c>
      <c r="D53" s="412">
        <f>'Аксессуары (2)'!D671*1.8*($K$2/100+1)</f>
        <v>168.15575699999999</v>
      </c>
      <c r="E53" s="412">
        <f>'Аксессуары (2)'!E671*1.8*($K$2/100+1)</f>
        <v>183.44264399999997</v>
      </c>
      <c r="F53" s="412">
        <f>'Аксессуары (2)'!F671*1.8*($K$2/100+1)</f>
        <v>201.78690839999996</v>
      </c>
      <c r="G53" s="412">
        <f>'Аксессуары (2)'!G671*1.8*($K$2/100+1)</f>
        <v>220.13117279999994</v>
      </c>
      <c r="H53" s="631">
        <f>'Аксессуары (2)'!H671*1.8*($K$2/100+1)</f>
        <v>305.73773999999997</v>
      </c>
      <c r="I53" s="631">
        <f>'Аксессуары (2)'!I671*1.8*($K$2/100+1)</f>
        <v>336.31151399999999</v>
      </c>
      <c r="J53" s="685">
        <f>'Аксессуары (2)'!J671*1.8*($K$2/100+1)</f>
        <v>458.60660999999999</v>
      </c>
    </row>
    <row r="54" spans="1:10" ht="14.95" customHeight="1">
      <c r="A54" s="414" t="s">
        <v>2206</v>
      </c>
      <c r="B54" s="412">
        <f>'Аксессуары (2)'!B672*1.8*($K$2/100+1)</f>
        <v>147.06845999999999</v>
      </c>
      <c r="C54" s="412">
        <f>'Аксессуары (2)'!C672*1.8*($K$2/100+1)</f>
        <v>163.40940000000001</v>
      </c>
      <c r="D54" s="412">
        <f>'Аксессуары (2)'!D672*1.8*($K$2/100+1)</f>
        <v>179.75033999999999</v>
      </c>
      <c r="E54" s="412">
        <f>'Аксессуары (2)'!E672*1.8*($K$2/100+1)</f>
        <v>196.09127999999995</v>
      </c>
      <c r="F54" s="412">
        <f>'Аксессуары (2)'!F672*1.8*($K$2/100+1)</f>
        <v>215.70040799999998</v>
      </c>
      <c r="G54" s="412">
        <f>'Аксессуары (2)'!G672*1.8*($K$2/100+1)</f>
        <v>235.30953599999995</v>
      </c>
      <c r="H54" s="631">
        <f>'Аксессуары (2)'!H672*1.8*($K$2/100+1)</f>
        <v>326.81880000000001</v>
      </c>
      <c r="I54" s="631">
        <f>'Аксессуары (2)'!I672*1.8*($K$2/100+1)</f>
        <v>359.50067999999999</v>
      </c>
      <c r="J54" s="685">
        <f>'Аксессуары (2)'!J672*1.8*($K$2/100+1)</f>
        <v>490.22819999999996</v>
      </c>
    </row>
    <row r="55" spans="1:10" ht="14.95" customHeight="1">
      <c r="A55" s="414" t="s">
        <v>2207</v>
      </c>
      <c r="B55" s="412">
        <f>'Аксессуары (2)'!B673*1.8*($K$2/100+1)</f>
        <v>152.17656299999999</v>
      </c>
      <c r="C55" s="412">
        <f>'Аксессуары (2)'!C673*1.8*($K$2/100+1)</f>
        <v>169.08506999999997</v>
      </c>
      <c r="D55" s="412">
        <f>'Аксессуары (2)'!D673*1.8*($K$2/100+1)</f>
        <v>185.99357699999999</v>
      </c>
      <c r="E55" s="412">
        <f>'Аксессуары (2)'!E673*1.8*($K$2/100+1)</f>
        <v>202.902084</v>
      </c>
      <c r="F55" s="412">
        <f>'Аксессуары (2)'!F673*1.8*($K$2/100+1)</f>
        <v>223.19229239999999</v>
      </c>
      <c r="G55" s="412">
        <f>'Аксессуары (2)'!G673*1.8*($K$2/100+1)</f>
        <v>243.48250079999997</v>
      </c>
      <c r="H55" s="631">
        <f>'Аксессуары (2)'!H673*1.8*($K$2/100+1)</f>
        <v>338.17013999999995</v>
      </c>
      <c r="I55" s="631">
        <f>'Аксессуары (2)'!I673*1.8*($K$2/100+1)</f>
        <v>371.98715399999998</v>
      </c>
      <c r="J55" s="685">
        <f>'Аксессуары (2)'!J673*1.8*($K$2/100+1)</f>
        <v>507.25521000000003</v>
      </c>
    </row>
    <row r="56" spans="1:10" ht="14.95" customHeight="1">
      <c r="A56" s="414" t="s">
        <v>2208</v>
      </c>
      <c r="B56" s="412">
        <f>'Аксессуары (2)'!B674*1.8*($K$2/100+1)</f>
        <v>166.77114299999997</v>
      </c>
      <c r="C56" s="412">
        <f>'Аксессуары (2)'!C674*1.8*($K$2/100+1)</f>
        <v>185.30126999999996</v>
      </c>
      <c r="D56" s="412">
        <f>'Аксессуары (2)'!D674*1.8*($K$2/100+1)</f>
        <v>203.83139700000001</v>
      </c>
      <c r="E56" s="412">
        <f>'Аксессуары (2)'!E674*1.8*($K$2/100+1)</f>
        <v>222.36152399999997</v>
      </c>
      <c r="F56" s="412">
        <f>'Аксессуары (2)'!F674*1.8*($K$2/100+1)</f>
        <v>244.59767639999995</v>
      </c>
      <c r="G56" s="412">
        <f>'Аксессуары (2)'!G674*1.8*($K$2/100+1)</f>
        <v>266.83382879999994</v>
      </c>
      <c r="H56" s="631">
        <f>'Аксессуары (2)'!H674*1.8*($K$2/100+1)</f>
        <v>370.60253999999992</v>
      </c>
      <c r="I56" s="631">
        <f>'Аксессуары (2)'!I674*1.8*($K$2/100+1)</f>
        <v>407.66279400000002</v>
      </c>
      <c r="J56" s="685">
        <f>'Аксессуары (2)'!J674*1.8*($K$2/100+1)</f>
        <v>555.90380999999991</v>
      </c>
    </row>
    <row r="57" spans="1:10" ht="14.95" customHeight="1">
      <c r="A57" s="414" t="s">
        <v>2209</v>
      </c>
      <c r="B57" s="412">
        <f>'Аксессуары (2)'!B675*1.8*($K$2/100+1)</f>
        <v>185.98733999999999</v>
      </c>
      <c r="C57" s="412">
        <f>'Аксессуары (2)'!C675*1.8*($K$2/100+1)</f>
        <v>206.65259999999998</v>
      </c>
      <c r="D57" s="412">
        <f>'Аксессуары (2)'!D675*1.8*($K$2/100+1)</f>
        <v>227.31786000000002</v>
      </c>
      <c r="E57" s="412">
        <f>'Аксессуары (2)'!E675*1.8*($K$2/100+1)</f>
        <v>247.98311999999999</v>
      </c>
      <c r="F57" s="412">
        <f>'Аксессуары (2)'!F675*1.8*($K$2/100+1)</f>
        <v>272.781432</v>
      </c>
      <c r="G57" s="412">
        <f>'Аксессуары (2)'!G675*1.8*($K$2/100+1)</f>
        <v>297.57974399999995</v>
      </c>
      <c r="H57" s="631">
        <f>'Аксессуары (2)'!H675*1.8*($K$2/100+1)</f>
        <v>413.30519999999996</v>
      </c>
      <c r="I57" s="631">
        <f>'Аксессуары (2)'!I675*1.8*($K$2/100+1)</f>
        <v>454.63572000000005</v>
      </c>
      <c r="J57" s="685">
        <f>'Аксессуары (2)'!J675*1.8*($K$2/100+1)</f>
        <v>619.95780000000002</v>
      </c>
    </row>
    <row r="58" spans="1:10" ht="14.95" customHeight="1">
      <c r="A58" s="622" t="s">
        <v>2210</v>
      </c>
      <c r="B58" s="412">
        <f>'Аксессуары (2)'!B676*1.8*($K$2/100+1)</f>
        <v>195.71705999999998</v>
      </c>
      <c r="C58" s="412">
        <f>'Аксессуары (2)'!C676*1.8*($K$2/100+1)</f>
        <v>217.46339999999998</v>
      </c>
      <c r="D58" s="412">
        <f>'Аксессуары (2)'!D676*1.8*($K$2/100+1)</f>
        <v>239.20974000000001</v>
      </c>
      <c r="E58" s="412">
        <f>'Аксессуары (2)'!E676*1.8*($K$2/100+1)</f>
        <v>260.95607999999993</v>
      </c>
      <c r="F58" s="412">
        <f>'Аксессуары (2)'!F676*1.8*($K$2/100+1)</f>
        <v>287.05168800000001</v>
      </c>
      <c r="G58" s="412">
        <f>'Аксессуары (2)'!G676*1.8*($K$2/100+1)</f>
        <v>313.14729599999998</v>
      </c>
      <c r="H58" s="631">
        <f>'Аксессуары (2)'!H676*1.8*($K$2/100+1)</f>
        <v>434.92679999999996</v>
      </c>
      <c r="I58" s="631">
        <f>'Аксессуары (2)'!I676*1.8*($K$2/100+1)</f>
        <v>478.41948000000002</v>
      </c>
      <c r="J58" s="685">
        <f>'Аксессуары (2)'!J676*1.8*($K$2/100+1)</f>
        <v>652.39019999999994</v>
      </c>
    </row>
    <row r="59" spans="1:10">
      <c r="A59" s="619"/>
      <c r="B59" s="256"/>
      <c r="C59" s="256"/>
      <c r="D59" s="256"/>
      <c r="E59" s="256"/>
      <c r="F59" s="256"/>
      <c r="G59" s="256"/>
      <c r="H59" s="258"/>
      <c r="I59" s="258"/>
      <c r="J59" s="258"/>
    </row>
    <row r="60" spans="1:10">
      <c r="A60" s="619"/>
      <c r="B60" s="256"/>
      <c r="C60" s="256"/>
      <c r="D60" s="256"/>
      <c r="E60" s="256"/>
      <c r="F60" s="256"/>
      <c r="G60" s="256"/>
      <c r="H60" s="258"/>
      <c r="I60" s="258"/>
      <c r="J60" s="258"/>
    </row>
    <row r="61" spans="1:10">
      <c r="A61" s="619"/>
      <c r="B61" s="256"/>
      <c r="C61" s="256"/>
      <c r="D61" s="256"/>
      <c r="E61" s="256"/>
      <c r="F61" s="256"/>
      <c r="G61" s="256"/>
      <c r="H61" s="258"/>
      <c r="I61" s="258"/>
      <c r="J61" s="258"/>
    </row>
    <row r="62" spans="1:10">
      <c r="A62" s="619"/>
      <c r="B62" s="256"/>
      <c r="C62" s="256"/>
      <c r="D62" s="256"/>
      <c r="E62" s="256"/>
      <c r="F62" s="256"/>
      <c r="G62" s="256"/>
      <c r="H62" s="258"/>
      <c r="I62" s="258"/>
      <c r="J62" s="258"/>
    </row>
    <row r="63" spans="1:10">
      <c r="A63" s="619"/>
      <c r="B63" s="256"/>
      <c r="C63" s="256"/>
      <c r="D63" s="256"/>
      <c r="E63" s="256"/>
      <c r="F63" s="256"/>
      <c r="G63" s="256"/>
      <c r="H63" s="258"/>
      <c r="I63" s="258"/>
      <c r="J63" s="258"/>
    </row>
    <row r="64" spans="1:10">
      <c r="A64" s="619"/>
      <c r="B64" s="256"/>
      <c r="C64" s="256"/>
      <c r="D64" s="256"/>
      <c r="E64" s="256"/>
      <c r="F64" s="256"/>
      <c r="G64" s="256"/>
      <c r="H64" s="258"/>
      <c r="I64" s="258"/>
      <c r="J64" s="258"/>
    </row>
    <row r="65" spans="1:10">
      <c r="A65" s="619"/>
      <c r="B65" s="256"/>
      <c r="C65" s="256"/>
      <c r="D65" s="256"/>
      <c r="E65" s="256"/>
      <c r="F65" s="256"/>
      <c r="G65" s="256"/>
      <c r="H65" s="258"/>
      <c r="I65" s="258"/>
      <c r="J65" s="258"/>
    </row>
    <row r="66" spans="1:10">
      <c r="A66" s="619"/>
      <c r="B66" s="256"/>
      <c r="C66" s="256"/>
      <c r="D66" s="256"/>
      <c r="E66" s="256"/>
      <c r="F66" s="256"/>
      <c r="G66" s="256"/>
      <c r="H66" s="258"/>
      <c r="I66" s="258"/>
      <c r="J66" s="258"/>
    </row>
    <row r="67" spans="1:10">
      <c r="A67" s="619"/>
      <c r="B67" s="256"/>
      <c r="C67" s="256"/>
      <c r="D67" s="256"/>
      <c r="E67" s="256"/>
      <c r="F67" s="256"/>
      <c r="G67" s="256"/>
      <c r="H67" s="258"/>
      <c r="I67" s="258"/>
      <c r="J67" s="258"/>
    </row>
    <row r="68" spans="1:10">
      <c r="A68" s="619"/>
      <c r="B68" s="256"/>
      <c r="C68" s="256"/>
      <c r="D68" s="256"/>
      <c r="E68" s="256"/>
      <c r="F68" s="256"/>
      <c r="G68" s="256"/>
      <c r="H68" s="258"/>
      <c r="I68" s="258"/>
      <c r="J68" s="258"/>
    </row>
    <row r="69" spans="1:10">
      <c r="A69" s="619"/>
      <c r="B69" s="256"/>
      <c r="C69" s="256"/>
      <c r="D69" s="256"/>
      <c r="E69" s="256"/>
      <c r="F69" s="256"/>
      <c r="G69" s="256"/>
      <c r="H69" s="258"/>
      <c r="I69" s="258"/>
      <c r="J69" s="258"/>
    </row>
    <row r="70" spans="1:10">
      <c r="A70" s="619"/>
      <c r="B70" s="256"/>
      <c r="C70" s="256"/>
      <c r="D70" s="256"/>
      <c r="E70" s="256"/>
      <c r="F70" s="256"/>
      <c r="G70" s="256"/>
      <c r="H70" s="258"/>
      <c r="I70" s="258"/>
      <c r="J70" s="258"/>
    </row>
    <row r="71" spans="1:10">
      <c r="A71" s="619"/>
      <c r="B71" s="256"/>
      <c r="C71" s="256"/>
      <c r="D71" s="256"/>
      <c r="E71" s="256"/>
      <c r="F71" s="256"/>
      <c r="G71" s="256"/>
      <c r="H71" s="258"/>
      <c r="I71" s="258"/>
      <c r="J71" s="258"/>
    </row>
    <row r="72" spans="1:10">
      <c r="A72" s="619"/>
      <c r="B72" s="256"/>
      <c r="C72" s="256"/>
      <c r="D72" s="256"/>
      <c r="E72" s="256"/>
      <c r="F72" s="256"/>
      <c r="G72" s="256"/>
      <c r="H72" s="258"/>
      <c r="I72" s="258"/>
      <c r="J72" s="258"/>
    </row>
    <row r="73" spans="1:10">
      <c r="A73" s="619"/>
      <c r="B73" s="256"/>
      <c r="C73" s="256"/>
      <c r="D73" s="256"/>
      <c r="E73" s="256"/>
      <c r="F73" s="256"/>
      <c r="G73" s="256"/>
      <c r="H73" s="258"/>
      <c r="I73" s="258"/>
      <c r="J73" s="258"/>
    </row>
    <row r="74" spans="1:10">
      <c r="A74" s="619"/>
      <c r="B74" s="256"/>
      <c r="C74" s="256"/>
      <c r="D74" s="256"/>
      <c r="E74" s="256"/>
      <c r="F74" s="256"/>
      <c r="G74" s="256"/>
      <c r="H74" s="258"/>
      <c r="I74" s="258"/>
      <c r="J74" s="258"/>
    </row>
    <row r="75" spans="1:10">
      <c r="A75" s="619"/>
      <c r="B75" s="256"/>
      <c r="C75" s="256"/>
      <c r="D75" s="256"/>
      <c r="E75" s="256"/>
      <c r="F75" s="256"/>
      <c r="G75" s="256"/>
      <c r="H75" s="258"/>
      <c r="I75" s="258"/>
      <c r="J75" s="258"/>
    </row>
    <row r="76" spans="1:10">
      <c r="A76" s="619"/>
      <c r="B76" s="256"/>
      <c r="C76" s="256"/>
      <c r="D76" s="256"/>
      <c r="E76" s="256"/>
      <c r="F76" s="256"/>
      <c r="G76" s="256"/>
      <c r="H76" s="258"/>
      <c r="I76" s="258"/>
      <c r="J76" s="258"/>
    </row>
    <row r="77" spans="1:10">
      <c r="A77" s="619"/>
      <c r="B77" s="256"/>
      <c r="C77" s="256"/>
      <c r="D77" s="256"/>
      <c r="E77" s="256"/>
      <c r="F77" s="256"/>
      <c r="G77" s="256"/>
      <c r="H77" s="258"/>
      <c r="I77" s="258"/>
      <c r="J77" s="258"/>
    </row>
    <row r="78" spans="1:10">
      <c r="A78" s="619"/>
      <c r="B78" s="256"/>
      <c r="C78" s="256"/>
      <c r="D78" s="256"/>
      <c r="E78" s="256"/>
      <c r="F78" s="256"/>
      <c r="G78" s="256"/>
      <c r="H78" s="258"/>
      <c r="I78" s="258"/>
      <c r="J78" s="258"/>
    </row>
    <row r="79" spans="1:10">
      <c r="A79" s="619"/>
      <c r="B79" s="256"/>
      <c r="C79" s="256"/>
      <c r="D79" s="256"/>
      <c r="E79" s="256"/>
      <c r="F79" s="256"/>
      <c r="G79" s="256"/>
      <c r="H79" s="258"/>
      <c r="I79" s="258"/>
      <c r="J79" s="258"/>
    </row>
    <row r="80" spans="1:10">
      <c r="A80" s="619"/>
      <c r="B80" s="256"/>
      <c r="C80" s="256"/>
      <c r="D80" s="256"/>
      <c r="E80" s="256"/>
      <c r="F80" s="256"/>
      <c r="G80" s="256"/>
      <c r="H80" s="258"/>
      <c r="I80" s="258"/>
      <c r="J80" s="258"/>
    </row>
    <row r="81" spans="1:10">
      <c r="A81" s="619"/>
      <c r="B81" s="256"/>
      <c r="C81" s="256"/>
      <c r="D81" s="256"/>
      <c r="E81" s="256"/>
      <c r="F81" s="256"/>
      <c r="G81" s="256"/>
      <c r="H81" s="258"/>
      <c r="I81" s="258"/>
      <c r="J81" s="258"/>
    </row>
    <row r="82" spans="1:10">
      <c r="A82" s="619"/>
      <c r="B82" s="256"/>
      <c r="C82" s="256"/>
      <c r="D82" s="256"/>
      <c r="E82" s="256"/>
      <c r="F82" s="256"/>
      <c r="G82" s="256"/>
      <c r="H82" s="258"/>
      <c r="I82" s="258"/>
      <c r="J82" s="258"/>
    </row>
    <row r="83" spans="1:10">
      <c r="A83" s="619"/>
      <c r="B83" s="256"/>
      <c r="C83" s="256"/>
      <c r="D83" s="256"/>
      <c r="E83" s="256"/>
      <c r="F83" s="256"/>
      <c r="G83" s="256"/>
      <c r="H83" s="258"/>
      <c r="I83" s="258"/>
      <c r="J83" s="258"/>
    </row>
    <row r="84" spans="1:10">
      <c r="A84" s="619"/>
      <c r="B84" s="256"/>
      <c r="C84" s="256"/>
      <c r="D84" s="256"/>
      <c r="E84" s="256"/>
      <c r="F84" s="256"/>
      <c r="G84" s="256"/>
      <c r="H84" s="258"/>
      <c r="I84" s="258"/>
      <c r="J84" s="258"/>
    </row>
    <row r="85" spans="1:10">
      <c r="A85" s="619"/>
      <c r="B85" s="256"/>
      <c r="C85" s="256"/>
      <c r="D85" s="256"/>
      <c r="E85" s="256"/>
      <c r="F85" s="256"/>
      <c r="G85" s="256"/>
      <c r="H85" s="258"/>
      <c r="I85" s="258"/>
      <c r="J85" s="258"/>
    </row>
    <row r="86" spans="1:10">
      <c r="A86" s="619"/>
      <c r="B86" s="256"/>
      <c r="C86" s="256"/>
      <c r="D86" s="256"/>
      <c r="E86" s="256"/>
      <c r="F86" s="256"/>
      <c r="G86" s="256"/>
      <c r="H86" s="258"/>
      <c r="I86" s="258"/>
      <c r="J86" s="258"/>
    </row>
    <row r="87" spans="1:10">
      <c r="A87" s="619"/>
      <c r="B87" s="256"/>
      <c r="C87" s="256"/>
      <c r="D87" s="256"/>
      <c r="E87" s="256"/>
      <c r="F87" s="256"/>
      <c r="G87" s="256"/>
      <c r="H87" s="258"/>
      <c r="I87" s="258"/>
      <c r="J87" s="258"/>
    </row>
    <row r="88" spans="1:10">
      <c r="A88" s="619"/>
      <c r="B88" s="256"/>
      <c r="C88" s="256"/>
      <c r="D88" s="256"/>
      <c r="E88" s="256"/>
      <c r="F88" s="256"/>
      <c r="G88" s="256"/>
      <c r="H88" s="258"/>
      <c r="I88" s="258"/>
      <c r="J88" s="258"/>
    </row>
    <row r="89" spans="1:10">
      <c r="A89" s="619"/>
      <c r="B89" s="256"/>
      <c r="C89" s="256"/>
      <c r="D89" s="256"/>
      <c r="E89" s="256"/>
      <c r="F89" s="256"/>
      <c r="G89" s="256"/>
      <c r="H89" s="258"/>
      <c r="I89" s="258"/>
      <c r="J89" s="258"/>
    </row>
    <row r="90" spans="1:10">
      <c r="A90" s="619"/>
      <c r="B90" s="256"/>
      <c r="C90" s="256"/>
      <c r="D90" s="256"/>
      <c r="E90" s="256"/>
      <c r="F90" s="256"/>
      <c r="G90" s="256"/>
      <c r="H90" s="258"/>
      <c r="I90" s="258"/>
      <c r="J90" s="258"/>
    </row>
    <row r="91" spans="1:10">
      <c r="A91" s="619"/>
      <c r="B91" s="256"/>
      <c r="C91" s="256"/>
      <c r="D91" s="256"/>
      <c r="E91" s="256"/>
      <c r="F91" s="256"/>
      <c r="G91" s="256"/>
      <c r="H91" s="258"/>
      <c r="I91" s="258"/>
      <c r="J91" s="258"/>
    </row>
    <row r="92" spans="1:10">
      <c r="A92" s="619"/>
      <c r="B92" s="256"/>
      <c r="C92" s="256"/>
      <c r="D92" s="256"/>
      <c r="E92" s="256"/>
      <c r="F92" s="256"/>
      <c r="G92" s="256"/>
      <c r="H92" s="258"/>
      <c r="I92" s="258"/>
      <c r="J92" s="258"/>
    </row>
    <row r="93" spans="1:10">
      <c r="A93" s="620"/>
      <c r="B93" s="256"/>
      <c r="C93" s="256"/>
      <c r="D93" s="256"/>
      <c r="E93" s="256"/>
      <c r="F93" s="256"/>
      <c r="G93" s="256"/>
      <c r="H93" s="258"/>
      <c r="I93" s="258"/>
      <c r="J93" s="258"/>
    </row>
    <row r="94" spans="1:10">
      <c r="A94" s="619"/>
      <c r="B94" s="256"/>
      <c r="C94" s="256"/>
      <c r="D94" s="256"/>
      <c r="E94" s="256"/>
      <c r="F94" s="256"/>
      <c r="G94" s="256"/>
      <c r="H94" s="258"/>
      <c r="I94" s="258"/>
      <c r="J94" s="258"/>
    </row>
    <row r="95" spans="1:10">
      <c r="A95" s="619"/>
      <c r="B95" s="256"/>
      <c r="C95" s="256"/>
      <c r="D95" s="256"/>
      <c r="E95" s="256"/>
      <c r="F95" s="256"/>
      <c r="G95" s="256"/>
      <c r="H95" s="258"/>
      <c r="I95" s="258"/>
      <c r="J95" s="258"/>
    </row>
    <row r="96" spans="1:10">
      <c r="A96" s="619"/>
      <c r="B96" s="256"/>
      <c r="C96" s="256"/>
      <c r="D96" s="256"/>
      <c r="E96" s="256"/>
      <c r="F96" s="256"/>
      <c r="G96" s="256"/>
      <c r="H96" s="258"/>
      <c r="I96" s="258"/>
      <c r="J96" s="258"/>
    </row>
    <row r="97" spans="1:10">
      <c r="A97" s="619"/>
      <c r="B97" s="256"/>
      <c r="C97" s="256"/>
      <c r="D97" s="256"/>
      <c r="E97" s="256"/>
      <c r="F97" s="256"/>
      <c r="G97" s="256"/>
      <c r="H97" s="258"/>
      <c r="I97" s="258"/>
      <c r="J97" s="258"/>
    </row>
    <row r="98" spans="1:10">
      <c r="A98" s="619"/>
      <c r="B98" s="256"/>
      <c r="C98" s="256"/>
      <c r="D98" s="256"/>
      <c r="E98" s="256"/>
      <c r="F98" s="256"/>
      <c r="G98" s="256"/>
      <c r="H98" s="258"/>
      <c r="I98" s="258"/>
      <c r="J98" s="258"/>
    </row>
    <row r="99" spans="1:10">
      <c r="A99" s="619"/>
      <c r="B99" s="256"/>
      <c r="C99" s="256"/>
      <c r="D99" s="256"/>
      <c r="E99" s="256"/>
      <c r="F99" s="256"/>
      <c r="G99" s="256"/>
      <c r="H99" s="258"/>
      <c r="I99" s="258"/>
      <c r="J99" s="258"/>
    </row>
    <row r="100" spans="1:10">
      <c r="A100" s="619"/>
      <c r="B100" s="256"/>
      <c r="C100" s="256"/>
      <c r="D100" s="256"/>
      <c r="E100" s="256"/>
      <c r="F100" s="256"/>
      <c r="G100" s="256"/>
      <c r="H100" s="258"/>
      <c r="I100" s="258"/>
      <c r="J100" s="258"/>
    </row>
    <row r="101" spans="1:10">
      <c r="A101" s="619"/>
      <c r="B101" s="256"/>
      <c r="C101" s="256"/>
      <c r="D101" s="256"/>
      <c r="E101" s="256"/>
      <c r="F101" s="256"/>
      <c r="G101" s="256"/>
      <c r="H101" s="258"/>
      <c r="I101" s="258"/>
      <c r="J101" s="258"/>
    </row>
    <row r="102" spans="1:10">
      <c r="A102" s="619"/>
      <c r="B102" s="256"/>
      <c r="C102" s="256"/>
      <c r="D102" s="256"/>
      <c r="E102" s="256"/>
      <c r="F102" s="256"/>
      <c r="G102" s="256"/>
      <c r="H102" s="258"/>
      <c r="I102" s="258"/>
      <c r="J102" s="258"/>
    </row>
    <row r="103" spans="1:10">
      <c r="A103" s="619"/>
      <c r="B103" s="256"/>
      <c r="C103" s="256"/>
      <c r="D103" s="256"/>
      <c r="E103" s="256"/>
      <c r="F103" s="256"/>
      <c r="G103" s="256"/>
      <c r="H103" s="258"/>
      <c r="I103" s="258"/>
      <c r="J103" s="258"/>
    </row>
    <row r="104" spans="1:10">
      <c r="A104" s="619"/>
      <c r="B104" s="256"/>
      <c r="C104" s="256"/>
      <c r="D104" s="256"/>
      <c r="E104" s="256"/>
      <c r="F104" s="256"/>
      <c r="G104" s="256"/>
      <c r="H104" s="258"/>
      <c r="I104" s="258"/>
      <c r="J104" s="258"/>
    </row>
    <row r="105" spans="1:10">
      <c r="A105" s="619"/>
      <c r="B105" s="256"/>
      <c r="C105" s="256"/>
      <c r="D105" s="256"/>
      <c r="E105" s="256"/>
      <c r="F105" s="256"/>
      <c r="G105" s="256"/>
      <c r="H105" s="258"/>
      <c r="I105" s="258"/>
      <c r="J105" s="258"/>
    </row>
    <row r="106" spans="1:10">
      <c r="A106" s="619"/>
      <c r="B106" s="256"/>
      <c r="C106" s="256"/>
      <c r="D106" s="256"/>
      <c r="E106" s="256"/>
      <c r="F106" s="256"/>
      <c r="G106" s="256"/>
      <c r="H106" s="258"/>
      <c r="I106" s="258"/>
      <c r="J106" s="258"/>
    </row>
    <row r="107" spans="1:10">
      <c r="A107" s="619"/>
      <c r="B107" s="256"/>
      <c r="C107" s="256"/>
      <c r="D107" s="256"/>
      <c r="E107" s="256"/>
      <c r="F107" s="256"/>
      <c r="G107" s="256"/>
      <c r="H107" s="258"/>
      <c r="I107" s="258"/>
      <c r="J107" s="258"/>
    </row>
    <row r="108" spans="1:10">
      <c r="A108" s="619"/>
      <c r="B108" s="256"/>
      <c r="C108" s="256"/>
      <c r="D108" s="256"/>
      <c r="E108" s="256"/>
      <c r="F108" s="256"/>
      <c r="G108" s="256"/>
      <c r="H108" s="258"/>
      <c r="I108" s="258"/>
      <c r="J108" s="258"/>
    </row>
    <row r="109" spans="1:10">
      <c r="A109" s="619"/>
      <c r="B109" s="256"/>
      <c r="C109" s="256"/>
      <c r="D109" s="256"/>
      <c r="E109" s="256"/>
      <c r="F109" s="256"/>
      <c r="G109" s="256"/>
      <c r="H109" s="258"/>
      <c r="I109" s="258"/>
      <c r="J109" s="258"/>
    </row>
    <row r="110" spans="1:10">
      <c r="A110" s="619"/>
      <c r="B110" s="256"/>
      <c r="C110" s="256"/>
      <c r="D110" s="256"/>
      <c r="E110" s="256"/>
      <c r="F110" s="256"/>
      <c r="G110" s="256"/>
      <c r="H110" s="258"/>
      <c r="I110" s="258"/>
      <c r="J110" s="258"/>
    </row>
    <row r="111" spans="1:10">
      <c r="A111" s="619"/>
      <c r="B111" s="256"/>
      <c r="C111" s="256"/>
      <c r="D111" s="256"/>
      <c r="E111" s="256"/>
      <c r="F111" s="256"/>
      <c r="G111" s="256"/>
      <c r="H111" s="258"/>
      <c r="I111" s="258"/>
      <c r="J111" s="258"/>
    </row>
    <row r="112" spans="1:10">
      <c r="A112" s="619"/>
      <c r="B112" s="256"/>
      <c r="C112" s="256"/>
      <c r="D112" s="256"/>
      <c r="E112" s="256"/>
      <c r="F112" s="256"/>
      <c r="G112" s="256"/>
      <c r="H112" s="258"/>
      <c r="I112" s="258"/>
      <c r="J112" s="258"/>
    </row>
    <row r="113" spans="1:10">
      <c r="A113" s="619"/>
      <c r="B113" s="256"/>
      <c r="C113" s="256"/>
      <c r="D113" s="256"/>
      <c r="E113" s="256"/>
      <c r="F113" s="256"/>
      <c r="G113" s="256"/>
      <c r="H113" s="258"/>
      <c r="I113" s="258"/>
      <c r="J113" s="258"/>
    </row>
    <row r="114" spans="1:10">
      <c r="A114" s="619"/>
      <c r="B114" s="256"/>
      <c r="C114" s="256"/>
      <c r="D114" s="256"/>
      <c r="E114" s="256"/>
      <c r="F114" s="256"/>
      <c r="G114" s="256"/>
      <c r="H114" s="258"/>
      <c r="I114" s="258"/>
      <c r="J114" s="258"/>
    </row>
    <row r="115" spans="1:10">
      <c r="A115" s="619"/>
      <c r="B115" s="256"/>
      <c r="C115" s="256"/>
      <c r="D115" s="256"/>
      <c r="E115" s="256"/>
      <c r="F115" s="256"/>
      <c r="G115" s="256"/>
      <c r="H115" s="258"/>
      <c r="I115" s="258"/>
      <c r="J115" s="258"/>
    </row>
    <row r="116" spans="1:10">
      <c r="A116" s="619"/>
      <c r="B116" s="256"/>
      <c r="C116" s="256"/>
      <c r="D116" s="256"/>
      <c r="E116" s="256"/>
      <c r="F116" s="256"/>
      <c r="G116" s="256"/>
      <c r="H116" s="258"/>
      <c r="I116" s="258"/>
      <c r="J116" s="258"/>
    </row>
    <row r="117" spans="1:10">
      <c r="A117" s="619"/>
      <c r="B117" s="256"/>
      <c r="C117" s="256"/>
      <c r="D117" s="256"/>
      <c r="E117" s="256"/>
      <c r="F117" s="256"/>
      <c r="G117" s="256"/>
      <c r="H117" s="258"/>
      <c r="I117" s="258"/>
      <c r="J117" s="258"/>
    </row>
    <row r="118" spans="1:10">
      <c r="A118" s="619"/>
      <c r="B118" s="256"/>
      <c r="C118" s="256"/>
      <c r="D118" s="256"/>
      <c r="E118" s="256"/>
      <c r="F118" s="256"/>
      <c r="G118" s="256"/>
      <c r="H118" s="258"/>
      <c r="I118" s="258"/>
      <c r="J118" s="258"/>
    </row>
    <row r="119" spans="1:10">
      <c r="A119" s="619"/>
      <c r="B119" s="256"/>
      <c r="C119" s="256"/>
      <c r="D119" s="256"/>
      <c r="E119" s="256"/>
      <c r="F119" s="256"/>
      <c r="G119" s="256"/>
      <c r="H119" s="258"/>
      <c r="I119" s="258"/>
      <c r="J119" s="258"/>
    </row>
    <row r="120" spans="1:10">
      <c r="A120" s="619"/>
      <c r="B120" s="256"/>
      <c r="C120" s="256"/>
      <c r="D120" s="256"/>
      <c r="E120" s="256"/>
      <c r="F120" s="256"/>
      <c r="G120" s="256"/>
      <c r="H120" s="258"/>
      <c r="I120" s="258"/>
      <c r="J120" s="258"/>
    </row>
    <row r="121" spans="1:10">
      <c r="A121" s="619"/>
      <c r="B121" s="256"/>
      <c r="C121" s="256"/>
      <c r="D121" s="256"/>
      <c r="E121" s="256"/>
      <c r="F121" s="256"/>
      <c r="G121" s="256"/>
      <c r="H121" s="258"/>
      <c r="I121" s="258"/>
      <c r="J121" s="258"/>
    </row>
    <row r="122" spans="1:10">
      <c r="A122" s="619"/>
      <c r="B122" s="256"/>
      <c r="C122" s="256"/>
      <c r="D122" s="256"/>
      <c r="E122" s="256"/>
      <c r="F122" s="256"/>
      <c r="G122" s="256"/>
      <c r="H122" s="258"/>
      <c r="I122" s="258"/>
      <c r="J122" s="258"/>
    </row>
    <row r="123" spans="1:10">
      <c r="A123" s="619"/>
      <c r="B123" s="256"/>
      <c r="C123" s="256"/>
      <c r="D123" s="256"/>
      <c r="E123" s="256"/>
      <c r="F123" s="256"/>
      <c r="G123" s="256"/>
      <c r="H123" s="258"/>
      <c r="I123" s="258"/>
      <c r="J123" s="258"/>
    </row>
    <row r="124" spans="1:10">
      <c r="A124" s="619"/>
      <c r="B124" s="256"/>
      <c r="C124" s="256"/>
      <c r="D124" s="256"/>
      <c r="E124" s="256"/>
      <c r="F124" s="256"/>
      <c r="G124" s="256"/>
    </row>
    <row r="125" spans="1:10">
      <c r="A125" s="619"/>
      <c r="B125" s="256"/>
      <c r="C125" s="256"/>
      <c r="D125" s="256"/>
      <c r="E125" s="256"/>
      <c r="F125" s="256"/>
      <c r="G125" s="256"/>
    </row>
    <row r="126" spans="1:10">
      <c r="A126" s="619"/>
      <c r="B126" s="256"/>
      <c r="C126" s="256"/>
      <c r="D126" s="256"/>
      <c r="E126" s="256"/>
      <c r="F126" s="256"/>
      <c r="G126" s="256"/>
    </row>
    <row r="127" spans="1:10">
      <c r="A127" s="619"/>
      <c r="B127" s="256"/>
      <c r="C127" s="256"/>
      <c r="D127" s="256"/>
      <c r="E127" s="256"/>
      <c r="F127" s="256"/>
      <c r="G127" s="256"/>
    </row>
    <row r="128" spans="1:10">
      <c r="A128" s="619"/>
      <c r="B128" s="256"/>
      <c r="C128" s="256"/>
      <c r="D128" s="256"/>
      <c r="E128" s="256"/>
      <c r="F128" s="256"/>
      <c r="G128" s="256"/>
    </row>
    <row r="129" spans="1:7">
      <c r="A129" s="619"/>
      <c r="B129" s="256"/>
      <c r="C129" s="256"/>
      <c r="D129" s="256"/>
      <c r="E129" s="256"/>
      <c r="F129" s="256"/>
      <c r="G129" s="256"/>
    </row>
    <row r="130" spans="1:7">
      <c r="A130" s="619"/>
      <c r="B130" s="256"/>
      <c r="C130" s="256"/>
      <c r="D130" s="256"/>
      <c r="E130" s="256"/>
      <c r="F130" s="256"/>
      <c r="G130" s="256"/>
    </row>
    <row r="131" spans="1:7">
      <c r="A131" s="619"/>
      <c r="B131" s="256"/>
      <c r="C131" s="256"/>
      <c r="D131" s="256"/>
      <c r="E131" s="256"/>
      <c r="F131" s="256"/>
      <c r="G131" s="256"/>
    </row>
    <row r="132" spans="1:7">
      <c r="A132" s="620"/>
      <c r="B132" s="256"/>
      <c r="C132" s="256"/>
      <c r="D132" s="256"/>
      <c r="E132" s="256"/>
      <c r="F132" s="256"/>
      <c r="G132" s="256"/>
    </row>
    <row r="133" spans="1:7">
      <c r="A133" s="621"/>
      <c r="B133" s="256"/>
      <c r="C133" s="256"/>
      <c r="D133" s="256"/>
      <c r="E133" s="256"/>
      <c r="F133" s="256"/>
      <c r="G133" s="256"/>
    </row>
    <row r="134" spans="1:7">
      <c r="A134" s="621"/>
      <c r="B134" s="256"/>
      <c r="C134" s="256"/>
      <c r="D134" s="256"/>
      <c r="E134" s="256"/>
      <c r="F134" s="256"/>
      <c r="G134" s="256"/>
    </row>
    <row r="135" spans="1:7">
      <c r="A135" s="619"/>
      <c r="B135" s="256"/>
      <c r="C135" s="256"/>
      <c r="D135" s="256"/>
      <c r="E135" s="256"/>
      <c r="F135" s="256"/>
      <c r="G135" s="256"/>
    </row>
    <row r="136" spans="1:7">
      <c r="A136" s="619"/>
      <c r="B136" s="256"/>
      <c r="C136" s="256"/>
      <c r="D136" s="256"/>
      <c r="E136" s="256"/>
      <c r="F136" s="256"/>
      <c r="G136" s="256"/>
    </row>
    <row r="137" spans="1:7">
      <c r="A137" s="619"/>
      <c r="B137" s="256"/>
      <c r="C137" s="256"/>
      <c r="D137" s="256"/>
      <c r="E137" s="256"/>
      <c r="F137" s="256"/>
      <c r="G137" s="256"/>
    </row>
    <row r="138" spans="1:7">
      <c r="A138" s="619"/>
      <c r="B138" s="256"/>
      <c r="C138" s="256"/>
      <c r="D138" s="256"/>
      <c r="E138" s="256"/>
      <c r="F138" s="256"/>
      <c r="G138" s="256"/>
    </row>
    <row r="139" spans="1:7">
      <c r="A139" s="619"/>
      <c r="B139" s="256"/>
      <c r="C139" s="256"/>
      <c r="D139" s="256"/>
      <c r="E139" s="256"/>
      <c r="F139" s="256"/>
      <c r="G139" s="256"/>
    </row>
    <row r="140" spans="1:7">
      <c r="A140" s="619"/>
      <c r="B140" s="256"/>
      <c r="C140" s="256"/>
      <c r="D140" s="256"/>
      <c r="E140" s="256"/>
      <c r="F140" s="256"/>
      <c r="G140" s="256"/>
    </row>
    <row r="141" spans="1:7">
      <c r="A141" s="619"/>
      <c r="B141" s="256"/>
      <c r="C141" s="256"/>
      <c r="D141" s="256"/>
      <c r="E141" s="256"/>
      <c r="F141" s="256"/>
      <c r="G141" s="256"/>
    </row>
    <row r="142" spans="1:7">
      <c r="A142" s="619"/>
      <c r="B142" s="256"/>
      <c r="C142" s="256"/>
      <c r="D142" s="256"/>
      <c r="E142" s="256"/>
      <c r="F142" s="256"/>
      <c r="G142" s="256"/>
    </row>
    <row r="143" spans="1:7">
      <c r="A143" s="619"/>
      <c r="B143" s="256"/>
      <c r="C143" s="256"/>
      <c r="D143" s="256"/>
      <c r="E143" s="256"/>
      <c r="F143" s="256"/>
      <c r="G143" s="256"/>
    </row>
    <row r="144" spans="1:7">
      <c r="A144" s="619"/>
      <c r="B144" s="256"/>
      <c r="C144" s="256"/>
      <c r="D144" s="256"/>
      <c r="E144" s="256"/>
      <c r="F144" s="256"/>
      <c r="G144" s="256"/>
    </row>
    <row r="145" spans="1:7">
      <c r="A145" s="619"/>
      <c r="B145" s="256"/>
      <c r="C145" s="256"/>
      <c r="D145" s="256"/>
      <c r="E145" s="256"/>
      <c r="F145" s="256"/>
      <c r="G145" s="256"/>
    </row>
    <row r="146" spans="1:7">
      <c r="A146" s="619"/>
      <c r="B146" s="256"/>
      <c r="C146" s="256"/>
      <c r="D146" s="256"/>
      <c r="E146" s="256"/>
      <c r="F146" s="256"/>
      <c r="G146" s="256"/>
    </row>
    <row r="147" spans="1:7">
      <c r="A147" s="619"/>
      <c r="B147" s="256"/>
      <c r="C147" s="256"/>
      <c r="D147" s="256"/>
      <c r="E147" s="256"/>
      <c r="F147" s="256"/>
      <c r="G147" s="256"/>
    </row>
    <row r="148" spans="1:7">
      <c r="A148" s="619"/>
      <c r="B148" s="256"/>
      <c r="C148" s="256"/>
      <c r="D148" s="256"/>
      <c r="E148" s="256"/>
      <c r="F148" s="256"/>
      <c r="G148" s="256"/>
    </row>
    <row r="149" spans="1:7">
      <c r="A149" s="619"/>
      <c r="B149" s="256"/>
      <c r="C149" s="256"/>
      <c r="D149" s="256"/>
      <c r="E149" s="256"/>
      <c r="F149" s="256"/>
      <c r="G149" s="256"/>
    </row>
    <row r="150" spans="1:7">
      <c r="A150" s="619"/>
      <c r="B150" s="256"/>
      <c r="C150" s="256"/>
      <c r="D150" s="256"/>
      <c r="E150" s="256"/>
      <c r="F150" s="256"/>
      <c r="G150" s="256"/>
    </row>
    <row r="151" spans="1:7">
      <c r="A151" s="619"/>
      <c r="B151" s="256"/>
      <c r="C151" s="256"/>
      <c r="D151" s="256"/>
      <c r="E151" s="256"/>
      <c r="F151" s="256"/>
      <c r="G151" s="256"/>
    </row>
    <row r="152" spans="1:7">
      <c r="A152" s="619"/>
      <c r="B152" s="256"/>
      <c r="C152" s="256"/>
      <c r="D152" s="256"/>
      <c r="E152" s="256"/>
      <c r="F152" s="256"/>
      <c r="G152" s="256"/>
    </row>
    <row r="153" spans="1:7">
      <c r="A153" s="619"/>
      <c r="B153" s="256"/>
      <c r="C153" s="256"/>
      <c r="D153" s="256"/>
      <c r="E153" s="256"/>
      <c r="F153" s="256"/>
      <c r="G153" s="256"/>
    </row>
    <row r="154" spans="1:7">
      <c r="A154" s="619"/>
      <c r="B154" s="256"/>
      <c r="C154" s="256"/>
      <c r="D154" s="256"/>
      <c r="E154" s="256"/>
      <c r="F154" s="256"/>
      <c r="G154" s="256"/>
    </row>
    <row r="155" spans="1:7">
      <c r="A155" s="619"/>
      <c r="B155" s="256"/>
      <c r="C155" s="256"/>
      <c r="D155" s="256"/>
      <c r="E155" s="256"/>
      <c r="F155" s="256"/>
      <c r="G155" s="256"/>
    </row>
    <row r="156" spans="1:7">
      <c r="A156" s="619"/>
      <c r="B156" s="256"/>
      <c r="C156" s="256"/>
      <c r="D156" s="256"/>
      <c r="E156" s="256"/>
      <c r="F156" s="256"/>
      <c r="G156" s="256"/>
    </row>
    <row r="157" spans="1:7">
      <c r="A157" s="619"/>
      <c r="B157" s="256"/>
      <c r="C157" s="256"/>
      <c r="D157" s="256"/>
      <c r="E157" s="256"/>
      <c r="F157" s="256"/>
      <c r="G157" s="256"/>
    </row>
    <row r="158" spans="1:7">
      <c r="A158" s="619"/>
      <c r="B158" s="256"/>
      <c r="C158" s="256"/>
      <c r="D158" s="256"/>
      <c r="E158" s="256"/>
      <c r="F158" s="256"/>
      <c r="G158" s="256"/>
    </row>
    <row r="159" spans="1:7">
      <c r="A159" s="619"/>
      <c r="B159" s="256"/>
      <c r="C159" s="256"/>
      <c r="D159" s="256"/>
      <c r="E159" s="256"/>
      <c r="F159" s="256"/>
      <c r="G159" s="256"/>
    </row>
    <row r="160" spans="1:7">
      <c r="A160" s="619"/>
      <c r="B160" s="256"/>
      <c r="C160" s="256"/>
      <c r="D160" s="256"/>
      <c r="E160" s="256"/>
      <c r="F160" s="256"/>
      <c r="G160" s="256"/>
    </row>
    <row r="161" spans="1:7">
      <c r="A161" s="619"/>
      <c r="B161" s="256"/>
      <c r="C161" s="256"/>
      <c r="D161" s="256"/>
      <c r="E161" s="256"/>
      <c r="F161" s="256"/>
      <c r="G161" s="256"/>
    </row>
    <row r="162" spans="1:7">
      <c r="A162" s="619"/>
      <c r="B162" s="256"/>
      <c r="C162" s="256"/>
      <c r="D162" s="256"/>
      <c r="E162" s="256"/>
      <c r="F162" s="256"/>
      <c r="G162" s="256"/>
    </row>
    <row r="163" spans="1:7">
      <c r="A163" s="619"/>
      <c r="B163" s="256"/>
      <c r="C163" s="256"/>
      <c r="D163" s="256"/>
      <c r="E163" s="256"/>
      <c r="F163" s="256"/>
      <c r="G163" s="256"/>
    </row>
    <row r="164" spans="1:7">
      <c r="A164" s="619"/>
      <c r="B164" s="256"/>
      <c r="C164" s="256"/>
      <c r="D164" s="256"/>
      <c r="E164" s="256"/>
      <c r="F164" s="256"/>
      <c r="G164" s="256"/>
    </row>
    <row r="165" spans="1:7">
      <c r="A165" s="619"/>
      <c r="B165" s="256"/>
      <c r="C165" s="256"/>
      <c r="D165" s="256"/>
      <c r="E165" s="256"/>
      <c r="F165" s="256"/>
      <c r="G165" s="256"/>
    </row>
    <row r="166" spans="1:7">
      <c r="A166" s="619"/>
      <c r="B166" s="256"/>
      <c r="C166" s="256"/>
      <c r="D166" s="256"/>
      <c r="E166" s="256"/>
      <c r="F166" s="256"/>
      <c r="G166" s="256"/>
    </row>
    <row r="167" spans="1:7">
      <c r="A167" s="619"/>
      <c r="B167" s="256"/>
      <c r="C167" s="256"/>
      <c r="D167" s="256"/>
      <c r="E167" s="256"/>
      <c r="F167" s="256"/>
      <c r="G167" s="256"/>
    </row>
    <row r="168" spans="1:7">
      <c r="A168" s="619"/>
      <c r="B168" s="256"/>
      <c r="C168" s="256"/>
      <c r="D168" s="256"/>
      <c r="E168" s="256"/>
      <c r="F168" s="256"/>
      <c r="G168" s="256"/>
    </row>
    <row r="169" spans="1:7">
      <c r="A169" s="619"/>
      <c r="B169" s="256"/>
      <c r="C169" s="256"/>
      <c r="D169" s="256"/>
      <c r="E169" s="256"/>
      <c r="F169" s="256"/>
      <c r="G169" s="256"/>
    </row>
    <row r="170" spans="1:7">
      <c r="A170" s="619"/>
      <c r="B170" s="256"/>
      <c r="C170" s="256"/>
      <c r="D170" s="256"/>
      <c r="E170" s="256"/>
      <c r="F170" s="256"/>
      <c r="G170" s="256"/>
    </row>
    <row r="171" spans="1:7">
      <c r="A171" s="620"/>
      <c r="B171" s="256"/>
      <c r="C171" s="256"/>
      <c r="D171" s="256"/>
      <c r="E171" s="256"/>
      <c r="F171" s="256"/>
      <c r="G171" s="256"/>
    </row>
    <row r="172" spans="1:7">
      <c r="A172" s="619"/>
      <c r="B172" s="256"/>
      <c r="C172" s="256"/>
      <c r="D172" s="256"/>
      <c r="E172" s="256"/>
      <c r="F172" s="256"/>
      <c r="G172" s="256"/>
    </row>
    <row r="173" spans="1:7">
      <c r="A173" s="621"/>
      <c r="B173" s="256"/>
      <c r="C173" s="256"/>
      <c r="D173" s="256"/>
      <c r="E173" s="256"/>
      <c r="F173" s="256"/>
      <c r="G173" s="256"/>
    </row>
    <row r="174" spans="1:7">
      <c r="A174" s="619"/>
      <c r="B174" s="256"/>
      <c r="C174" s="256"/>
      <c r="D174" s="256"/>
      <c r="E174" s="256"/>
      <c r="F174" s="256"/>
      <c r="G174" s="256"/>
    </row>
    <row r="175" spans="1:7">
      <c r="A175" s="619"/>
      <c r="B175" s="256"/>
      <c r="C175" s="256"/>
      <c r="D175" s="256"/>
      <c r="E175" s="256"/>
      <c r="F175" s="256"/>
      <c r="G175" s="256"/>
    </row>
    <row r="176" spans="1:7">
      <c r="A176" s="619"/>
      <c r="B176" s="256"/>
      <c r="C176" s="256"/>
      <c r="D176" s="256"/>
      <c r="E176" s="256"/>
      <c r="F176" s="256"/>
      <c r="G176" s="256"/>
    </row>
    <row r="177" spans="1:7">
      <c r="A177" s="619"/>
      <c r="B177" s="256"/>
      <c r="C177" s="256"/>
      <c r="D177" s="256"/>
      <c r="E177" s="256"/>
      <c r="F177" s="256"/>
      <c r="G177" s="256"/>
    </row>
    <row r="178" spans="1:7">
      <c r="A178" s="619"/>
      <c r="B178" s="256"/>
      <c r="C178" s="256"/>
      <c r="D178" s="256"/>
      <c r="E178" s="256"/>
      <c r="F178" s="256"/>
      <c r="G178" s="256"/>
    </row>
    <row r="179" spans="1:7">
      <c r="A179" s="416"/>
      <c r="B179" s="256"/>
      <c r="C179" s="256"/>
      <c r="D179" s="256"/>
      <c r="E179" s="256"/>
      <c r="F179" s="256"/>
      <c r="G179" s="256"/>
    </row>
    <row r="180" spans="1:7">
      <c r="A180" s="417"/>
      <c r="B180" s="256"/>
      <c r="C180" s="256"/>
      <c r="D180" s="256"/>
      <c r="E180" s="256"/>
      <c r="F180" s="256"/>
      <c r="G180" s="256"/>
    </row>
    <row r="181" spans="1:7">
      <c r="A181" s="419"/>
      <c r="B181" s="256"/>
      <c r="C181" s="256"/>
      <c r="D181" s="256"/>
      <c r="E181" s="256"/>
      <c r="F181" s="256"/>
      <c r="G181" s="256"/>
    </row>
    <row r="182" spans="1:7">
      <c r="A182" s="418"/>
      <c r="B182" s="256"/>
      <c r="C182" s="256"/>
      <c r="D182" s="256"/>
      <c r="E182" s="256"/>
      <c r="F182" s="256"/>
      <c r="G182" s="256"/>
    </row>
    <row r="183" spans="1:7">
      <c r="A183" s="417"/>
      <c r="B183" s="256"/>
      <c r="C183" s="256"/>
      <c r="D183" s="256"/>
      <c r="E183" s="256"/>
      <c r="F183" s="256"/>
      <c r="G183" s="256"/>
    </row>
    <row r="184" spans="1:7">
      <c r="A184" s="417"/>
      <c r="B184" s="256"/>
      <c r="C184" s="256"/>
      <c r="D184" s="256"/>
      <c r="E184" s="256"/>
      <c r="F184" s="256"/>
      <c r="G184" s="256"/>
    </row>
    <row r="185" spans="1:7">
      <c r="A185" s="417"/>
      <c r="B185" s="256"/>
      <c r="C185" s="256"/>
      <c r="D185" s="256"/>
      <c r="E185" s="256"/>
      <c r="F185" s="256"/>
      <c r="G185" s="256"/>
    </row>
    <row r="186" spans="1:7">
      <c r="A186" s="417"/>
      <c r="B186" s="256"/>
      <c r="C186" s="256"/>
      <c r="D186" s="256"/>
      <c r="E186" s="256"/>
      <c r="F186" s="256"/>
      <c r="G186" s="256"/>
    </row>
    <row r="187" spans="1:7">
      <c r="A187" s="417"/>
      <c r="B187" s="256"/>
      <c r="C187" s="256"/>
      <c r="D187" s="256"/>
      <c r="E187" s="256"/>
      <c r="F187" s="256"/>
      <c r="G187" s="256"/>
    </row>
    <row r="188" spans="1:7">
      <c r="A188" s="417"/>
      <c r="B188" s="256"/>
      <c r="C188" s="256"/>
      <c r="D188" s="256"/>
      <c r="E188" s="256"/>
      <c r="F188" s="256"/>
      <c r="G188" s="256"/>
    </row>
    <row r="189" spans="1:7">
      <c r="A189" s="417"/>
      <c r="B189" s="256"/>
      <c r="C189" s="256"/>
      <c r="D189" s="256"/>
      <c r="E189" s="256"/>
      <c r="F189" s="256"/>
      <c r="G189" s="256"/>
    </row>
    <row r="190" spans="1:7">
      <c r="A190" s="417"/>
      <c r="B190" s="256"/>
      <c r="C190" s="256"/>
      <c r="D190" s="256"/>
      <c r="E190" s="256"/>
      <c r="F190" s="256"/>
      <c r="G190" s="256"/>
    </row>
    <row r="191" spans="1:7">
      <c r="A191" s="417"/>
      <c r="B191" s="256"/>
      <c r="C191" s="256"/>
      <c r="D191" s="256"/>
      <c r="E191" s="256"/>
      <c r="F191" s="256"/>
      <c r="G191" s="256"/>
    </row>
    <row r="192" spans="1:7">
      <c r="A192" s="417"/>
      <c r="B192" s="256"/>
      <c r="C192" s="256"/>
      <c r="D192" s="256"/>
      <c r="E192" s="256"/>
      <c r="F192" s="256"/>
      <c r="G192" s="256"/>
    </row>
    <row r="193" spans="1:7">
      <c r="A193" s="417"/>
      <c r="B193" s="256"/>
      <c r="C193" s="256"/>
      <c r="D193" s="256"/>
      <c r="E193" s="256"/>
      <c r="F193" s="256"/>
      <c r="G193" s="256"/>
    </row>
    <row r="194" spans="1:7">
      <c r="A194" s="417"/>
      <c r="B194" s="256"/>
      <c r="C194" s="256"/>
      <c r="D194" s="256"/>
      <c r="E194" s="256"/>
      <c r="F194" s="256"/>
      <c r="G194" s="256"/>
    </row>
    <row r="195" spans="1:7">
      <c r="A195" s="417"/>
      <c r="B195" s="256"/>
      <c r="C195" s="256"/>
      <c r="D195" s="256"/>
      <c r="E195" s="256"/>
      <c r="F195" s="256"/>
      <c r="G195" s="256"/>
    </row>
    <row r="196" spans="1:7">
      <c r="A196" s="417"/>
      <c r="B196" s="256"/>
      <c r="C196" s="256"/>
      <c r="D196" s="256"/>
      <c r="E196" s="256"/>
      <c r="F196" s="256"/>
      <c r="G196" s="256"/>
    </row>
    <row r="197" spans="1:7">
      <c r="A197" s="417"/>
      <c r="B197" s="256"/>
      <c r="C197" s="256"/>
      <c r="D197" s="256"/>
      <c r="E197" s="256"/>
      <c r="F197" s="256"/>
      <c r="G197" s="256"/>
    </row>
    <row r="198" spans="1:7">
      <c r="A198" s="417"/>
      <c r="B198" s="256"/>
      <c r="C198" s="256"/>
      <c r="D198" s="256"/>
      <c r="E198" s="256"/>
      <c r="F198" s="256"/>
      <c r="G198" s="256"/>
    </row>
    <row r="199" spans="1:7">
      <c r="A199" s="417"/>
      <c r="B199" s="256"/>
      <c r="C199" s="256"/>
      <c r="D199" s="256"/>
      <c r="E199" s="256"/>
      <c r="F199" s="256"/>
      <c r="G199" s="256"/>
    </row>
    <row r="200" spans="1:7">
      <c r="A200" s="417"/>
      <c r="B200" s="256"/>
      <c r="C200" s="256"/>
      <c r="D200" s="256"/>
      <c r="E200" s="256"/>
      <c r="F200" s="256"/>
      <c r="G200" s="256"/>
    </row>
    <row r="201" spans="1:7">
      <c r="A201" s="417"/>
      <c r="B201" s="256"/>
      <c r="C201" s="256"/>
      <c r="D201" s="256"/>
      <c r="E201" s="256"/>
      <c r="F201" s="256"/>
      <c r="G201" s="256"/>
    </row>
    <row r="202" spans="1:7">
      <c r="A202" s="417"/>
      <c r="B202" s="256"/>
      <c r="C202" s="256"/>
      <c r="D202" s="256"/>
      <c r="E202" s="256"/>
      <c r="F202" s="256"/>
      <c r="G202" s="256"/>
    </row>
    <row r="203" spans="1:7">
      <c r="A203" s="417"/>
      <c r="B203" s="256"/>
      <c r="C203" s="256"/>
      <c r="D203" s="256"/>
      <c r="E203" s="256"/>
      <c r="F203" s="256"/>
      <c r="G203" s="256"/>
    </row>
    <row r="204" spans="1:7">
      <c r="A204" s="417"/>
      <c r="B204" s="256"/>
      <c r="C204" s="256"/>
      <c r="D204" s="256"/>
      <c r="E204" s="256"/>
      <c r="F204" s="256"/>
      <c r="G204" s="256"/>
    </row>
    <row r="205" spans="1:7">
      <c r="A205" s="417"/>
      <c r="B205" s="256"/>
      <c r="C205" s="256"/>
      <c r="D205" s="256"/>
      <c r="E205" s="256"/>
      <c r="F205" s="256"/>
      <c r="G205" s="256"/>
    </row>
    <row r="206" spans="1:7">
      <c r="A206" s="417"/>
      <c r="B206" s="256"/>
      <c r="C206" s="256"/>
      <c r="D206" s="256"/>
      <c r="E206" s="256"/>
      <c r="F206" s="256"/>
      <c r="G206" s="256"/>
    </row>
    <row r="207" spans="1:7">
      <c r="A207" s="417"/>
      <c r="B207" s="256"/>
      <c r="C207" s="256"/>
      <c r="D207" s="256"/>
      <c r="E207" s="256"/>
      <c r="F207" s="256"/>
      <c r="G207" s="256"/>
    </row>
    <row r="208" spans="1:7">
      <c r="A208" s="417"/>
      <c r="B208" s="256"/>
      <c r="C208" s="256"/>
      <c r="D208" s="256"/>
      <c r="E208" s="256"/>
      <c r="F208" s="256"/>
      <c r="G208" s="256"/>
    </row>
    <row r="209" spans="1:7">
      <c r="A209" s="417"/>
      <c r="B209" s="256"/>
      <c r="C209" s="256"/>
      <c r="D209" s="256"/>
      <c r="E209" s="256"/>
      <c r="F209" s="256"/>
      <c r="G209" s="256"/>
    </row>
    <row r="210" spans="1:7">
      <c r="A210" s="417"/>
      <c r="B210" s="256"/>
      <c r="C210" s="256"/>
      <c r="D210" s="256"/>
      <c r="E210" s="256"/>
      <c r="F210" s="256"/>
      <c r="G210" s="256"/>
    </row>
    <row r="211" spans="1:7">
      <c r="A211" s="417"/>
      <c r="B211" s="256"/>
      <c r="C211" s="256"/>
      <c r="D211" s="256"/>
      <c r="E211" s="256"/>
      <c r="F211" s="256"/>
      <c r="G211" s="256"/>
    </row>
    <row r="212" spans="1:7">
      <c r="A212" s="417"/>
      <c r="B212" s="256"/>
      <c r="C212" s="256"/>
      <c r="D212" s="256"/>
      <c r="E212" s="256"/>
      <c r="F212" s="256"/>
      <c r="G212" s="256"/>
    </row>
    <row r="213" spans="1:7">
      <c r="A213" s="417"/>
      <c r="B213" s="256"/>
      <c r="C213" s="256"/>
      <c r="D213" s="256"/>
      <c r="E213" s="256"/>
      <c r="F213" s="256"/>
      <c r="G213" s="256"/>
    </row>
    <row r="214" spans="1:7">
      <c r="A214" s="417"/>
      <c r="B214" s="256"/>
      <c r="C214" s="256"/>
      <c r="D214" s="256"/>
      <c r="E214" s="256"/>
      <c r="F214" s="256"/>
      <c r="G214" s="256"/>
    </row>
    <row r="215" spans="1:7">
      <c r="A215" s="417"/>
      <c r="B215" s="256"/>
      <c r="C215" s="256"/>
      <c r="D215" s="256"/>
      <c r="E215" s="256"/>
      <c r="F215" s="256"/>
      <c r="G215" s="256"/>
    </row>
    <row r="216" spans="1:7">
      <c r="A216" s="417"/>
      <c r="B216" s="256"/>
      <c r="C216" s="256"/>
      <c r="D216" s="256"/>
      <c r="E216" s="256"/>
      <c r="F216" s="256"/>
      <c r="G216" s="256"/>
    </row>
    <row r="217" spans="1:7">
      <c r="A217" s="417"/>
      <c r="B217" s="256"/>
      <c r="C217" s="256"/>
      <c r="D217" s="256"/>
      <c r="E217" s="256"/>
      <c r="F217" s="256"/>
      <c r="G217" s="256"/>
    </row>
    <row r="218" spans="1:7">
      <c r="A218" s="417"/>
      <c r="B218" s="256"/>
      <c r="C218" s="256"/>
      <c r="D218" s="256"/>
      <c r="E218" s="256"/>
      <c r="F218" s="256"/>
      <c r="G218" s="256"/>
    </row>
    <row r="219" spans="1:7">
      <c r="A219" s="417"/>
      <c r="B219" s="256"/>
      <c r="C219" s="256"/>
      <c r="D219" s="256"/>
      <c r="E219" s="256"/>
      <c r="F219" s="256"/>
      <c r="G219" s="256"/>
    </row>
    <row r="220" spans="1:7">
      <c r="A220" s="419"/>
      <c r="B220" s="256"/>
      <c r="C220" s="256"/>
      <c r="D220" s="256"/>
      <c r="E220" s="256"/>
      <c r="F220" s="256"/>
      <c r="G220" s="256"/>
    </row>
    <row r="221" spans="1:7">
      <c r="A221" s="418"/>
      <c r="B221" s="256"/>
      <c r="C221" s="256"/>
      <c r="D221" s="256"/>
      <c r="E221" s="256"/>
      <c r="F221" s="256"/>
      <c r="G221" s="256"/>
    </row>
    <row r="222" spans="1:7">
      <c r="A222" s="417"/>
      <c r="B222" s="256"/>
      <c r="C222" s="256"/>
      <c r="D222" s="256"/>
      <c r="E222" s="256"/>
      <c r="F222" s="256"/>
      <c r="G222" s="256"/>
    </row>
    <row r="223" spans="1:7">
      <c r="A223" s="417"/>
      <c r="B223" s="256"/>
      <c r="C223" s="256"/>
      <c r="D223" s="256"/>
      <c r="E223" s="256"/>
      <c r="F223" s="256"/>
      <c r="G223" s="256"/>
    </row>
    <row r="224" spans="1:7">
      <c r="A224" s="417"/>
      <c r="B224" s="256"/>
      <c r="C224" s="256"/>
      <c r="D224" s="256"/>
      <c r="E224" s="256"/>
      <c r="F224" s="256"/>
      <c r="G224" s="256"/>
    </row>
    <row r="225" spans="1:7">
      <c r="A225" s="417"/>
      <c r="B225" s="256"/>
      <c r="C225" s="256"/>
      <c r="D225" s="256"/>
      <c r="E225" s="256"/>
      <c r="F225" s="256"/>
      <c r="G225" s="256"/>
    </row>
    <row r="226" spans="1:7">
      <c r="A226" s="417"/>
      <c r="B226" s="256"/>
      <c r="C226" s="256"/>
      <c r="D226" s="256"/>
      <c r="E226" s="256"/>
      <c r="F226" s="256"/>
      <c r="G226" s="256"/>
    </row>
    <row r="227" spans="1:7">
      <c r="A227" s="417"/>
      <c r="B227" s="256"/>
      <c r="C227" s="256"/>
      <c r="D227" s="256"/>
      <c r="E227" s="256"/>
      <c r="F227" s="256"/>
      <c r="G227" s="256"/>
    </row>
    <row r="228" spans="1:7">
      <c r="A228" s="417"/>
      <c r="B228" s="256"/>
      <c r="C228" s="256"/>
      <c r="D228" s="256"/>
      <c r="E228" s="256"/>
      <c r="F228" s="256"/>
      <c r="G228" s="256"/>
    </row>
    <row r="229" spans="1:7">
      <c r="A229" s="417"/>
      <c r="B229" s="256"/>
      <c r="C229" s="256"/>
      <c r="D229" s="256"/>
      <c r="E229" s="256"/>
      <c r="F229" s="256"/>
      <c r="G229" s="256"/>
    </row>
    <row r="230" spans="1:7">
      <c r="A230" s="420"/>
      <c r="B230" s="256"/>
      <c r="C230" s="256"/>
      <c r="D230" s="256"/>
      <c r="E230" s="256"/>
      <c r="F230" s="256"/>
      <c r="G230" s="256"/>
    </row>
    <row r="231" spans="1:7">
      <c r="A231" s="417"/>
      <c r="B231" s="256"/>
      <c r="C231" s="256"/>
      <c r="D231" s="256"/>
      <c r="E231" s="256"/>
      <c r="F231" s="256"/>
      <c r="G231" s="256"/>
    </row>
    <row r="232" spans="1:7">
      <c r="A232" s="417"/>
      <c r="B232" s="256"/>
      <c r="C232" s="256"/>
      <c r="D232" s="256"/>
      <c r="E232" s="256"/>
      <c r="F232" s="256"/>
      <c r="G232" s="256"/>
    </row>
    <row r="233" spans="1:7">
      <c r="A233" s="417"/>
      <c r="B233" s="256"/>
      <c r="C233" s="256"/>
      <c r="D233" s="256"/>
      <c r="E233" s="256"/>
      <c r="F233" s="256"/>
      <c r="G233" s="256"/>
    </row>
    <row r="234" spans="1:7">
      <c r="A234" s="417"/>
      <c r="B234" s="256"/>
      <c r="C234" s="256"/>
      <c r="D234" s="256"/>
      <c r="E234" s="256"/>
      <c r="F234" s="256"/>
      <c r="G234" s="256"/>
    </row>
    <row r="235" spans="1:7">
      <c r="A235" s="417"/>
      <c r="B235" s="256"/>
      <c r="C235" s="256"/>
      <c r="D235" s="256"/>
      <c r="E235" s="256"/>
      <c r="F235" s="256"/>
      <c r="G235" s="256"/>
    </row>
    <row r="236" spans="1:7">
      <c r="A236" s="417"/>
      <c r="B236" s="256"/>
      <c r="C236" s="256"/>
      <c r="D236" s="256"/>
      <c r="E236" s="256"/>
      <c r="F236" s="256"/>
      <c r="G236" s="256"/>
    </row>
    <row r="237" spans="1:7">
      <c r="A237" s="417"/>
      <c r="B237" s="256"/>
      <c r="C237" s="256"/>
      <c r="D237" s="256"/>
      <c r="E237" s="256"/>
      <c r="F237" s="256"/>
      <c r="G237" s="256"/>
    </row>
    <row r="238" spans="1:7">
      <c r="A238" s="417"/>
      <c r="B238" s="256"/>
      <c r="C238" s="256"/>
      <c r="D238" s="256"/>
      <c r="E238" s="256"/>
      <c r="F238" s="256"/>
      <c r="G238" s="256"/>
    </row>
    <row r="239" spans="1:7">
      <c r="A239" s="417"/>
      <c r="B239" s="256"/>
      <c r="C239" s="256"/>
      <c r="D239" s="256"/>
      <c r="E239" s="256"/>
      <c r="F239" s="256"/>
      <c r="G239" s="256"/>
    </row>
    <row r="240" spans="1:7">
      <c r="A240" s="417"/>
      <c r="B240" s="256"/>
      <c r="C240" s="256"/>
      <c r="D240" s="256"/>
      <c r="E240" s="256"/>
      <c r="F240" s="256"/>
      <c r="G240" s="256"/>
    </row>
    <row r="241" spans="1:7">
      <c r="A241" s="417"/>
      <c r="B241" s="256"/>
      <c r="C241" s="256"/>
      <c r="D241" s="256"/>
      <c r="E241" s="256"/>
      <c r="F241" s="256"/>
      <c r="G241" s="256"/>
    </row>
    <row r="242" spans="1:7">
      <c r="A242" s="417"/>
      <c r="B242" s="256"/>
      <c r="C242" s="256"/>
      <c r="D242" s="256"/>
      <c r="E242" s="256"/>
      <c r="F242" s="256"/>
      <c r="G242" s="256"/>
    </row>
    <row r="243" spans="1:7">
      <c r="A243" s="417"/>
      <c r="B243" s="256"/>
      <c r="C243" s="256"/>
      <c r="D243" s="256"/>
      <c r="E243" s="256"/>
      <c r="F243" s="256"/>
      <c r="G243" s="256"/>
    </row>
    <row r="244" spans="1:7">
      <c r="A244" s="417"/>
      <c r="B244" s="256"/>
      <c r="C244" s="256"/>
      <c r="D244" s="256"/>
      <c r="E244" s="256"/>
      <c r="F244" s="256"/>
      <c r="G244" s="256"/>
    </row>
    <row r="245" spans="1:7">
      <c r="A245" s="417"/>
      <c r="B245" s="256"/>
      <c r="C245" s="256"/>
      <c r="D245" s="256"/>
      <c r="E245" s="256"/>
      <c r="F245" s="256"/>
      <c r="G245" s="256"/>
    </row>
    <row r="246" spans="1:7">
      <c r="A246" s="417"/>
      <c r="B246" s="256"/>
      <c r="C246" s="256"/>
      <c r="D246" s="256"/>
      <c r="E246" s="256"/>
      <c r="F246" s="256"/>
      <c r="G246" s="256"/>
    </row>
    <row r="247" spans="1:7">
      <c r="A247" s="417"/>
      <c r="B247" s="256"/>
      <c r="C247" s="256"/>
      <c r="D247" s="256"/>
      <c r="E247" s="256"/>
      <c r="F247" s="256"/>
      <c r="G247" s="256"/>
    </row>
    <row r="248" spans="1:7">
      <c r="A248" s="417"/>
      <c r="B248" s="256"/>
      <c r="C248" s="256"/>
      <c r="D248" s="256"/>
      <c r="E248" s="256"/>
      <c r="F248" s="256"/>
      <c r="G248" s="256"/>
    </row>
    <row r="249" spans="1:7">
      <c r="A249" s="417"/>
      <c r="B249" s="256"/>
      <c r="C249" s="256"/>
      <c r="D249" s="256"/>
      <c r="E249" s="256"/>
      <c r="F249" s="256"/>
      <c r="G249" s="256"/>
    </row>
    <row r="250" spans="1:7">
      <c r="A250" s="417"/>
      <c r="B250" s="256"/>
      <c r="C250" s="256"/>
      <c r="D250" s="256"/>
      <c r="E250" s="256"/>
      <c r="F250" s="256"/>
      <c r="G250" s="256"/>
    </row>
    <row r="251" spans="1:7">
      <c r="A251" s="417"/>
      <c r="B251" s="256"/>
      <c r="C251" s="256"/>
      <c r="D251" s="256"/>
      <c r="E251" s="256"/>
      <c r="F251" s="256"/>
      <c r="G251" s="256"/>
    </row>
    <row r="252" spans="1:7">
      <c r="A252" s="417"/>
      <c r="B252" s="256"/>
      <c r="C252" s="256"/>
      <c r="D252" s="256"/>
      <c r="E252" s="256"/>
      <c r="F252" s="256"/>
      <c r="G252" s="256"/>
    </row>
    <row r="253" spans="1:7">
      <c r="A253" s="417"/>
      <c r="B253" s="256"/>
      <c r="C253" s="256"/>
      <c r="D253" s="256"/>
      <c r="E253" s="256"/>
      <c r="F253" s="256"/>
      <c r="G253" s="256"/>
    </row>
    <row r="254" spans="1:7">
      <c r="A254" s="417"/>
      <c r="B254" s="256"/>
      <c r="C254" s="256"/>
      <c r="D254" s="256"/>
      <c r="E254" s="256"/>
      <c r="F254" s="256"/>
      <c r="G254" s="256"/>
    </row>
    <row r="255" spans="1:7">
      <c r="A255" s="417"/>
      <c r="B255" s="256"/>
      <c r="C255" s="256"/>
      <c r="D255" s="256"/>
      <c r="E255" s="256"/>
      <c r="F255" s="256"/>
      <c r="G255" s="256"/>
    </row>
    <row r="256" spans="1:7">
      <c r="A256" s="417"/>
      <c r="B256" s="256"/>
      <c r="C256" s="256"/>
      <c r="D256" s="256"/>
      <c r="E256" s="256"/>
      <c r="F256" s="256"/>
      <c r="G256" s="256"/>
    </row>
    <row r="257" spans="1:7">
      <c r="A257" s="417"/>
      <c r="B257" s="256"/>
      <c r="C257" s="256"/>
      <c r="D257" s="256"/>
      <c r="E257" s="256"/>
      <c r="F257" s="256"/>
      <c r="G257" s="256"/>
    </row>
    <row r="258" spans="1:7">
      <c r="A258" s="417"/>
      <c r="B258" s="256"/>
      <c r="C258" s="256"/>
      <c r="D258" s="256"/>
      <c r="E258" s="256"/>
      <c r="F258" s="256"/>
      <c r="G258" s="256"/>
    </row>
    <row r="259" spans="1:7">
      <c r="A259" s="417"/>
      <c r="B259" s="256"/>
      <c r="C259" s="256"/>
      <c r="D259" s="256"/>
      <c r="E259" s="256"/>
      <c r="F259" s="256"/>
      <c r="G259" s="256"/>
    </row>
    <row r="260" spans="1:7">
      <c r="A260" s="417"/>
      <c r="B260" s="256"/>
      <c r="C260" s="256"/>
      <c r="D260" s="256"/>
      <c r="E260" s="256"/>
      <c r="F260" s="256"/>
      <c r="G260" s="256"/>
    </row>
    <row r="261" spans="1:7">
      <c r="A261" s="417"/>
      <c r="B261" s="256"/>
      <c r="C261" s="256"/>
      <c r="D261" s="256"/>
      <c r="E261" s="256"/>
      <c r="F261" s="256"/>
      <c r="G261" s="256"/>
    </row>
    <row r="262" spans="1:7">
      <c r="A262" s="417"/>
      <c r="B262" s="256"/>
      <c r="C262" s="256"/>
      <c r="D262" s="256"/>
      <c r="E262" s="256"/>
      <c r="F262" s="256"/>
      <c r="G262" s="256"/>
    </row>
    <row r="263" spans="1:7">
      <c r="A263" s="417"/>
      <c r="B263" s="256"/>
      <c r="C263" s="256"/>
      <c r="D263" s="256"/>
      <c r="E263" s="256"/>
      <c r="F263" s="256"/>
      <c r="G263" s="256"/>
    </row>
    <row r="264" spans="1:7">
      <c r="A264" s="417"/>
      <c r="B264" s="256"/>
      <c r="C264" s="256"/>
      <c r="D264" s="256"/>
      <c r="E264" s="256"/>
      <c r="F264" s="256"/>
      <c r="G264" s="256"/>
    </row>
    <row r="265" spans="1:7">
      <c r="A265" s="417"/>
      <c r="B265" s="256"/>
      <c r="C265" s="256"/>
      <c r="D265" s="256"/>
      <c r="E265" s="256"/>
      <c r="F265" s="256"/>
      <c r="G265" s="256"/>
    </row>
    <row r="266" spans="1:7">
      <c r="A266" s="417"/>
      <c r="B266" s="256"/>
      <c r="C266" s="256"/>
      <c r="D266" s="256"/>
      <c r="E266" s="256"/>
      <c r="F266" s="256"/>
      <c r="G266" s="256"/>
    </row>
    <row r="267" spans="1:7">
      <c r="A267" s="417"/>
      <c r="B267" s="256"/>
      <c r="C267" s="256"/>
      <c r="D267" s="256"/>
      <c r="E267" s="256"/>
      <c r="F267" s="256"/>
      <c r="G267" s="256"/>
    </row>
    <row r="268" spans="1:7">
      <c r="A268" s="417"/>
      <c r="B268" s="256"/>
      <c r="C268" s="256"/>
      <c r="D268" s="256"/>
      <c r="E268" s="256"/>
      <c r="F268" s="256"/>
      <c r="G268" s="256"/>
    </row>
    <row r="269" spans="1:7">
      <c r="A269" s="419"/>
      <c r="B269" s="256"/>
      <c r="C269" s="256"/>
      <c r="D269" s="256"/>
      <c r="E269" s="256"/>
      <c r="F269" s="256"/>
      <c r="G269" s="256"/>
    </row>
    <row r="270" spans="1:7">
      <c r="A270" s="417"/>
      <c r="B270" s="256"/>
      <c r="C270" s="256"/>
      <c r="D270" s="256"/>
      <c r="E270" s="256"/>
      <c r="F270" s="256"/>
      <c r="G270" s="256"/>
    </row>
    <row r="271" spans="1:7">
      <c r="A271" s="417"/>
      <c r="B271" s="256"/>
      <c r="C271" s="256"/>
      <c r="D271" s="256"/>
      <c r="E271" s="256"/>
      <c r="F271" s="256"/>
      <c r="G271" s="256"/>
    </row>
    <row r="272" spans="1:7">
      <c r="A272" s="417"/>
      <c r="B272" s="256"/>
      <c r="C272" s="256"/>
      <c r="D272" s="256"/>
      <c r="E272" s="256"/>
      <c r="F272" s="256"/>
      <c r="G272" s="256"/>
    </row>
    <row r="273" spans="1:7">
      <c r="A273" s="417"/>
      <c r="B273" s="256"/>
      <c r="C273" s="256"/>
      <c r="D273" s="256"/>
      <c r="E273" s="256"/>
      <c r="F273" s="256"/>
      <c r="G273" s="256"/>
    </row>
    <row r="274" spans="1:7">
      <c r="A274" s="417"/>
      <c r="B274" s="256"/>
      <c r="C274" s="256"/>
      <c r="D274" s="256"/>
      <c r="E274" s="256"/>
      <c r="F274" s="256"/>
      <c r="G274" s="256"/>
    </row>
    <row r="275" spans="1:7">
      <c r="A275" s="417"/>
      <c r="B275" s="256"/>
      <c r="C275" s="256"/>
      <c r="D275" s="256"/>
      <c r="E275" s="256"/>
      <c r="F275" s="256"/>
      <c r="G275" s="256"/>
    </row>
    <row r="276" spans="1:7">
      <c r="A276" s="418"/>
      <c r="B276" s="256"/>
      <c r="C276" s="256"/>
      <c r="D276" s="256"/>
      <c r="E276" s="256"/>
      <c r="F276" s="256"/>
      <c r="G276" s="256"/>
    </row>
    <row r="277" spans="1:7">
      <c r="A277" s="417"/>
      <c r="B277" s="256"/>
      <c r="C277" s="256"/>
      <c r="D277" s="256"/>
      <c r="E277" s="256"/>
      <c r="F277" s="256"/>
      <c r="G277" s="256"/>
    </row>
    <row r="278" spans="1:7">
      <c r="A278" s="417"/>
      <c r="B278" s="256"/>
      <c r="C278" s="256"/>
      <c r="D278" s="256"/>
      <c r="E278" s="256"/>
      <c r="F278" s="256"/>
      <c r="G278" s="256"/>
    </row>
    <row r="279" spans="1:7">
      <c r="A279" s="420"/>
      <c r="B279" s="256"/>
      <c r="C279" s="256"/>
      <c r="D279" s="256"/>
      <c r="E279" s="256"/>
      <c r="F279" s="256"/>
      <c r="G279" s="256"/>
    </row>
    <row r="280" spans="1:7">
      <c r="A280" s="417"/>
      <c r="B280" s="256"/>
      <c r="C280" s="256"/>
      <c r="D280" s="256"/>
      <c r="E280" s="256"/>
      <c r="F280" s="256"/>
      <c r="G280" s="256"/>
    </row>
    <row r="281" spans="1:7">
      <c r="A281" s="417"/>
      <c r="B281" s="256"/>
      <c r="C281" s="256"/>
      <c r="D281" s="256"/>
      <c r="E281" s="256"/>
      <c r="F281" s="256"/>
      <c r="G281" s="256"/>
    </row>
    <row r="282" spans="1:7">
      <c r="A282" s="417"/>
      <c r="B282" s="256"/>
      <c r="C282" s="256"/>
      <c r="D282" s="256"/>
      <c r="E282" s="256"/>
      <c r="F282" s="256"/>
      <c r="G282" s="256"/>
    </row>
    <row r="283" spans="1:7">
      <c r="A283" s="417"/>
      <c r="B283" s="256"/>
      <c r="C283" s="256"/>
      <c r="D283" s="256"/>
      <c r="E283" s="256"/>
      <c r="F283" s="256"/>
      <c r="G283" s="256"/>
    </row>
    <row r="284" spans="1:7">
      <c r="A284" s="417"/>
      <c r="B284" s="256"/>
      <c r="C284" s="256"/>
      <c r="D284" s="256"/>
      <c r="E284" s="256"/>
      <c r="F284" s="256"/>
      <c r="G284" s="256"/>
    </row>
    <row r="285" spans="1:7">
      <c r="A285" s="417"/>
      <c r="B285" s="256"/>
      <c r="C285" s="256"/>
      <c r="D285" s="256"/>
      <c r="E285" s="256"/>
      <c r="F285" s="256"/>
      <c r="G285" s="256"/>
    </row>
    <row r="286" spans="1:7">
      <c r="A286" s="417"/>
      <c r="B286" s="256"/>
      <c r="C286" s="256"/>
      <c r="D286" s="256"/>
      <c r="E286" s="256"/>
      <c r="F286" s="256"/>
      <c r="G286" s="256"/>
    </row>
    <row r="287" spans="1:7">
      <c r="A287" s="417"/>
      <c r="B287" s="256"/>
      <c r="C287" s="256"/>
      <c r="D287" s="256"/>
      <c r="E287" s="256"/>
      <c r="F287" s="256"/>
      <c r="G287" s="256"/>
    </row>
    <row r="288" spans="1:7">
      <c r="A288" s="417"/>
      <c r="B288" s="256"/>
      <c r="C288" s="256"/>
      <c r="D288" s="256"/>
      <c r="E288" s="256"/>
      <c r="F288" s="256"/>
      <c r="G288" s="256"/>
    </row>
    <row r="289" spans="1:7">
      <c r="A289" s="417"/>
      <c r="B289" s="256"/>
      <c r="C289" s="256"/>
      <c r="D289" s="256"/>
      <c r="E289" s="256"/>
      <c r="F289" s="256"/>
      <c r="G289" s="256"/>
    </row>
    <row r="290" spans="1:7">
      <c r="A290" s="417"/>
      <c r="B290" s="256"/>
      <c r="C290" s="256"/>
      <c r="D290" s="256"/>
      <c r="E290" s="256"/>
      <c r="F290" s="256"/>
      <c r="G290" s="256"/>
    </row>
    <row r="291" spans="1:7">
      <c r="A291" s="417"/>
      <c r="B291" s="256"/>
      <c r="C291" s="256"/>
      <c r="D291" s="256"/>
      <c r="E291" s="256"/>
      <c r="F291" s="256"/>
      <c r="G291" s="256"/>
    </row>
    <row r="292" spans="1:7">
      <c r="A292" s="417"/>
      <c r="B292" s="256"/>
      <c r="C292" s="256"/>
      <c r="D292" s="256"/>
      <c r="E292" s="256"/>
      <c r="F292" s="256"/>
      <c r="G292" s="256"/>
    </row>
    <row r="293" spans="1:7">
      <c r="A293" s="417"/>
      <c r="B293" s="256"/>
      <c r="C293" s="256"/>
      <c r="D293" s="256"/>
      <c r="E293" s="256"/>
      <c r="F293" s="256"/>
      <c r="G293" s="256"/>
    </row>
    <row r="294" spans="1:7">
      <c r="A294" s="417"/>
      <c r="B294" s="256"/>
      <c r="C294" s="256"/>
      <c r="D294" s="256"/>
      <c r="E294" s="256"/>
      <c r="F294" s="256"/>
      <c r="G294" s="256"/>
    </row>
    <row r="295" spans="1:7">
      <c r="A295" s="417"/>
      <c r="B295" s="256"/>
      <c r="C295" s="256"/>
      <c r="D295" s="256"/>
      <c r="E295" s="256"/>
      <c r="F295" s="256"/>
      <c r="G295" s="256"/>
    </row>
    <row r="296" spans="1:7">
      <c r="A296" s="417"/>
      <c r="B296" s="256"/>
      <c r="C296" s="256"/>
      <c r="D296" s="256"/>
      <c r="E296" s="256"/>
      <c r="F296" s="256"/>
      <c r="G296" s="256"/>
    </row>
    <row r="297" spans="1:7">
      <c r="A297" s="417"/>
      <c r="B297" s="256"/>
      <c r="C297" s="256"/>
      <c r="D297" s="256"/>
      <c r="E297" s="256"/>
      <c r="F297" s="256"/>
      <c r="G297" s="256"/>
    </row>
    <row r="298" spans="1:7">
      <c r="A298" s="417"/>
      <c r="B298" s="256"/>
      <c r="C298" s="256"/>
      <c r="D298" s="256"/>
      <c r="E298" s="256"/>
      <c r="F298" s="256"/>
      <c r="G298" s="256"/>
    </row>
    <row r="299" spans="1:7">
      <c r="A299" s="417"/>
      <c r="B299" s="256"/>
      <c r="C299" s="256"/>
      <c r="D299" s="256"/>
      <c r="E299" s="256"/>
      <c r="F299" s="256"/>
      <c r="G299" s="256"/>
    </row>
    <row r="300" spans="1:7">
      <c r="A300" s="417"/>
      <c r="B300" s="256"/>
      <c r="C300" s="256"/>
      <c r="D300" s="256"/>
      <c r="E300" s="256"/>
      <c r="F300" s="256"/>
      <c r="G300" s="256"/>
    </row>
    <row r="301" spans="1:7">
      <c r="A301" s="417"/>
      <c r="B301" s="256"/>
      <c r="C301" s="256"/>
      <c r="D301" s="256"/>
      <c r="E301" s="256"/>
      <c r="F301" s="256"/>
      <c r="G301" s="256"/>
    </row>
    <row r="302" spans="1:7">
      <c r="A302" s="417"/>
      <c r="B302" s="256"/>
      <c r="C302" s="256"/>
      <c r="D302" s="256"/>
      <c r="E302" s="256"/>
      <c r="F302" s="256"/>
      <c r="G302" s="256"/>
    </row>
    <row r="303" spans="1:7">
      <c r="A303" s="417"/>
      <c r="B303" s="256"/>
      <c r="C303" s="256"/>
      <c r="D303" s="256"/>
      <c r="E303" s="256"/>
      <c r="F303" s="256"/>
      <c r="G303" s="256"/>
    </row>
    <row r="304" spans="1:7">
      <c r="A304" s="417"/>
      <c r="B304" s="256"/>
      <c r="C304" s="256"/>
      <c r="D304" s="256"/>
      <c r="E304" s="256"/>
      <c r="F304" s="256"/>
      <c r="G304" s="256"/>
    </row>
    <row r="305" spans="1:7">
      <c r="A305" s="417"/>
      <c r="B305" s="256"/>
      <c r="C305" s="256"/>
      <c r="D305" s="256"/>
      <c r="E305" s="256"/>
      <c r="F305" s="256"/>
      <c r="G305" s="256"/>
    </row>
    <row r="306" spans="1:7">
      <c r="A306" s="417"/>
      <c r="B306" s="256"/>
      <c r="C306" s="256"/>
      <c r="D306" s="256"/>
      <c r="E306" s="256"/>
      <c r="F306" s="256"/>
      <c r="G306" s="256"/>
    </row>
    <row r="307" spans="1:7">
      <c r="A307" s="417"/>
      <c r="B307" s="256"/>
      <c r="C307" s="256"/>
      <c r="D307" s="256"/>
      <c r="E307" s="256"/>
      <c r="F307" s="256"/>
      <c r="G307" s="256"/>
    </row>
    <row r="308" spans="1:7">
      <c r="A308" s="417"/>
      <c r="B308" s="256"/>
      <c r="C308" s="256"/>
      <c r="D308" s="256"/>
      <c r="E308" s="256"/>
      <c r="F308" s="256"/>
      <c r="G308" s="256"/>
    </row>
    <row r="309" spans="1:7">
      <c r="A309" s="417"/>
      <c r="B309" s="256"/>
      <c r="C309" s="256"/>
      <c r="D309" s="256"/>
      <c r="E309" s="256"/>
      <c r="F309" s="256"/>
      <c r="G309" s="256"/>
    </row>
    <row r="310" spans="1:7">
      <c r="A310" s="417"/>
      <c r="B310" s="256"/>
      <c r="C310" s="256"/>
      <c r="D310" s="256"/>
      <c r="E310" s="256"/>
      <c r="F310" s="256"/>
      <c r="G310" s="256"/>
    </row>
    <row r="311" spans="1:7">
      <c r="A311" s="417"/>
      <c r="B311" s="256"/>
      <c r="C311" s="256"/>
      <c r="D311" s="256"/>
      <c r="E311" s="256"/>
      <c r="F311" s="256"/>
      <c r="G311" s="256"/>
    </row>
    <row r="312" spans="1:7">
      <c r="A312" s="417"/>
      <c r="B312" s="256"/>
      <c r="C312" s="256"/>
      <c r="D312" s="256"/>
      <c r="E312" s="256"/>
      <c r="F312" s="256"/>
      <c r="G312" s="256"/>
    </row>
    <row r="313" spans="1:7">
      <c r="A313" s="417"/>
      <c r="B313" s="256"/>
      <c r="C313" s="256"/>
      <c r="D313" s="256"/>
      <c r="E313" s="256"/>
      <c r="F313" s="256"/>
      <c r="G313" s="256"/>
    </row>
    <row r="314" spans="1:7">
      <c r="A314" s="417"/>
      <c r="B314" s="256"/>
      <c r="C314" s="256"/>
      <c r="D314" s="256"/>
      <c r="E314" s="256"/>
      <c r="F314" s="256"/>
      <c r="G314" s="256"/>
    </row>
    <row r="315" spans="1:7">
      <c r="A315" s="417"/>
      <c r="B315" s="256"/>
      <c r="C315" s="256"/>
      <c r="D315" s="256"/>
      <c r="E315" s="256"/>
      <c r="F315" s="256"/>
      <c r="G315" s="256"/>
    </row>
    <row r="316" spans="1:7">
      <c r="A316" s="417"/>
      <c r="B316" s="256"/>
      <c r="C316" s="256"/>
      <c r="D316" s="256"/>
      <c r="E316" s="256"/>
      <c r="F316" s="256"/>
      <c r="G316" s="256"/>
    </row>
    <row r="317" spans="1:7">
      <c r="A317" s="417"/>
      <c r="B317" s="256"/>
      <c r="C317" s="256"/>
      <c r="D317" s="256"/>
      <c r="E317" s="256"/>
      <c r="F317" s="256"/>
      <c r="G317" s="256"/>
    </row>
    <row r="318" spans="1:7">
      <c r="A318" s="419"/>
      <c r="B318" s="256"/>
      <c r="C318" s="256"/>
      <c r="D318" s="256"/>
      <c r="E318" s="256"/>
      <c r="F318" s="256"/>
      <c r="G318" s="256"/>
    </row>
    <row r="319" spans="1:7">
      <c r="A319" s="417"/>
      <c r="B319" s="256"/>
      <c r="C319" s="256"/>
      <c r="D319" s="256"/>
      <c r="E319" s="256"/>
      <c r="F319" s="256"/>
      <c r="G319" s="256"/>
    </row>
    <row r="320" spans="1:7">
      <c r="A320" s="417"/>
      <c r="B320" s="256"/>
      <c r="C320" s="256"/>
      <c r="D320" s="256"/>
      <c r="E320" s="256"/>
      <c r="F320" s="256"/>
      <c r="G320" s="256"/>
    </row>
    <row r="321" spans="1:7">
      <c r="A321" s="417"/>
      <c r="B321" s="256"/>
      <c r="C321" s="256"/>
      <c r="D321" s="256"/>
      <c r="E321" s="256"/>
      <c r="F321" s="256"/>
      <c r="G321" s="256"/>
    </row>
    <row r="322" spans="1:7">
      <c r="A322" s="417"/>
      <c r="B322" s="256"/>
      <c r="C322" s="256"/>
      <c r="D322" s="256"/>
      <c r="E322" s="256"/>
      <c r="F322" s="256"/>
      <c r="G322" s="256"/>
    </row>
    <row r="323" spans="1:7">
      <c r="A323" s="417"/>
      <c r="B323" s="256"/>
      <c r="C323" s="256"/>
      <c r="D323" s="256"/>
      <c r="E323" s="256"/>
      <c r="F323" s="256"/>
      <c r="G323" s="256"/>
    </row>
    <row r="324" spans="1:7">
      <c r="A324" s="417"/>
      <c r="B324" s="256"/>
      <c r="C324" s="256"/>
      <c r="D324" s="256"/>
      <c r="E324" s="256"/>
      <c r="F324" s="256"/>
      <c r="G324" s="256"/>
    </row>
    <row r="325" spans="1:7">
      <c r="A325" s="417"/>
      <c r="B325" s="256"/>
      <c r="C325" s="256"/>
      <c r="D325" s="256"/>
      <c r="E325" s="256"/>
      <c r="F325" s="256"/>
      <c r="G325" s="256"/>
    </row>
    <row r="326" spans="1:7">
      <c r="A326" s="417"/>
      <c r="B326" s="256"/>
      <c r="C326" s="256"/>
      <c r="D326" s="256"/>
      <c r="E326" s="256"/>
      <c r="F326" s="256"/>
      <c r="G326" s="256"/>
    </row>
    <row r="327" spans="1:7">
      <c r="A327" s="417"/>
      <c r="B327" s="256"/>
      <c r="C327" s="256"/>
      <c r="D327" s="256"/>
      <c r="E327" s="256"/>
      <c r="F327" s="256"/>
      <c r="G327" s="256"/>
    </row>
    <row r="328" spans="1:7">
      <c r="A328" s="419"/>
      <c r="B328" s="256"/>
      <c r="C328" s="256"/>
      <c r="D328" s="256"/>
      <c r="E328" s="256"/>
      <c r="F328" s="256"/>
      <c r="G328" s="256"/>
    </row>
    <row r="329" spans="1:7">
      <c r="A329" s="421"/>
      <c r="B329" s="256"/>
      <c r="C329" s="256"/>
      <c r="D329" s="256"/>
      <c r="E329" s="256"/>
      <c r="F329" s="256"/>
      <c r="G329" s="256"/>
    </row>
    <row r="330" spans="1:7">
      <c r="A330" s="421"/>
      <c r="B330" s="256"/>
      <c r="C330" s="256"/>
      <c r="D330" s="256"/>
      <c r="E330" s="256"/>
      <c r="F330" s="256"/>
      <c r="G330" s="256"/>
    </row>
    <row r="331" spans="1:7">
      <c r="A331" s="421"/>
      <c r="B331" s="256"/>
      <c r="C331" s="256"/>
      <c r="D331" s="256"/>
      <c r="E331" s="256"/>
      <c r="F331" s="256"/>
      <c r="G331" s="256"/>
    </row>
    <row r="332" spans="1:7">
      <c r="A332" s="421"/>
      <c r="B332" s="256"/>
      <c r="C332" s="256"/>
      <c r="D332" s="256"/>
      <c r="E332" s="256"/>
      <c r="F332" s="256"/>
      <c r="G332" s="256"/>
    </row>
    <row r="333" spans="1:7">
      <c r="A333" s="421"/>
      <c r="B333" s="256"/>
      <c r="C333" s="256"/>
      <c r="D333" s="256"/>
      <c r="E333" s="256"/>
      <c r="F333" s="256"/>
      <c r="G333" s="256"/>
    </row>
    <row r="334" spans="1:7">
      <c r="A334" s="421"/>
      <c r="B334" s="256"/>
      <c r="C334" s="256"/>
      <c r="D334" s="256"/>
      <c r="E334" s="256"/>
      <c r="F334" s="256"/>
      <c r="G334" s="256"/>
    </row>
    <row r="335" spans="1:7">
      <c r="A335" s="421"/>
      <c r="B335" s="256"/>
      <c r="C335" s="256"/>
      <c r="D335" s="256"/>
      <c r="E335" s="256"/>
      <c r="F335" s="256"/>
      <c r="G335" s="256"/>
    </row>
    <row r="336" spans="1:7">
      <c r="A336" s="421"/>
      <c r="B336" s="256"/>
      <c r="C336" s="256"/>
      <c r="D336" s="256"/>
      <c r="E336" s="256"/>
      <c r="F336" s="256"/>
      <c r="G336" s="256"/>
    </row>
    <row r="337" spans="1:7">
      <c r="A337" s="421"/>
      <c r="B337" s="256"/>
      <c r="C337" s="256"/>
      <c r="D337" s="256"/>
      <c r="E337" s="256"/>
      <c r="F337" s="256"/>
      <c r="G337" s="256"/>
    </row>
    <row r="338" spans="1:7">
      <c r="A338" s="421"/>
      <c r="B338" s="256"/>
      <c r="C338" s="256"/>
      <c r="D338" s="256"/>
      <c r="E338" s="256"/>
      <c r="F338" s="256"/>
      <c r="G338" s="256"/>
    </row>
    <row r="339" spans="1:7">
      <c r="A339" s="421"/>
      <c r="B339" s="256"/>
      <c r="C339" s="256"/>
      <c r="D339" s="256"/>
      <c r="E339" s="256"/>
      <c r="F339" s="256"/>
      <c r="G339" s="256"/>
    </row>
    <row r="340" spans="1:7">
      <c r="A340" s="421"/>
      <c r="B340" s="256"/>
      <c r="C340" s="256"/>
      <c r="D340" s="256"/>
      <c r="E340" s="256"/>
      <c r="F340" s="256"/>
      <c r="G340" s="256"/>
    </row>
    <row r="341" spans="1:7">
      <c r="A341" s="421"/>
      <c r="B341" s="256"/>
      <c r="C341" s="256"/>
      <c r="D341" s="256"/>
      <c r="E341" s="256"/>
      <c r="F341" s="256"/>
      <c r="G341" s="256"/>
    </row>
    <row r="342" spans="1:7">
      <c r="A342" s="421"/>
      <c r="B342" s="256"/>
      <c r="C342" s="256"/>
      <c r="D342" s="256"/>
      <c r="E342" s="256"/>
      <c r="F342" s="256"/>
      <c r="G342" s="256"/>
    </row>
    <row r="343" spans="1:7">
      <c r="A343" s="421"/>
      <c r="B343" s="256"/>
      <c r="C343" s="256"/>
      <c r="D343" s="256"/>
      <c r="E343" s="256"/>
      <c r="F343" s="256"/>
      <c r="G343" s="256"/>
    </row>
    <row r="344" spans="1:7">
      <c r="A344" s="421"/>
      <c r="B344" s="256"/>
      <c r="C344" s="256"/>
      <c r="D344" s="256"/>
      <c r="E344" s="256"/>
      <c r="F344" s="256"/>
      <c r="G344" s="256"/>
    </row>
    <row r="345" spans="1:7">
      <c r="A345" s="421"/>
      <c r="B345" s="256"/>
      <c r="C345" s="256"/>
      <c r="D345" s="256"/>
      <c r="E345" s="256"/>
      <c r="F345" s="256"/>
      <c r="G345" s="256"/>
    </row>
    <row r="346" spans="1:7">
      <c r="A346" s="421"/>
      <c r="B346" s="256"/>
      <c r="C346" s="256"/>
      <c r="D346" s="256"/>
      <c r="E346" s="256"/>
      <c r="F346" s="256"/>
      <c r="G346" s="256"/>
    </row>
    <row r="347" spans="1:7">
      <c r="A347" s="421"/>
      <c r="B347" s="256"/>
      <c r="C347" s="256"/>
      <c r="D347" s="256"/>
      <c r="E347" s="256"/>
      <c r="F347" s="256"/>
      <c r="G347" s="256"/>
    </row>
    <row r="348" spans="1:7">
      <c r="A348" s="421"/>
      <c r="B348" s="256"/>
      <c r="C348" s="256"/>
      <c r="D348" s="256"/>
      <c r="E348" s="256"/>
      <c r="F348" s="256"/>
      <c r="G348" s="256"/>
    </row>
    <row r="349" spans="1:7">
      <c r="A349" s="421"/>
      <c r="B349" s="256"/>
      <c r="C349" s="256"/>
      <c r="D349" s="256"/>
      <c r="E349" s="256"/>
      <c r="F349" s="256"/>
      <c r="G349" s="256"/>
    </row>
    <row r="350" spans="1:7">
      <c r="A350" s="421"/>
      <c r="B350" s="256"/>
      <c r="C350" s="256"/>
      <c r="D350" s="256"/>
      <c r="E350" s="256"/>
      <c r="F350" s="256"/>
      <c r="G350" s="256"/>
    </row>
    <row r="351" spans="1:7">
      <c r="A351" s="421"/>
      <c r="B351" s="256"/>
      <c r="C351" s="256"/>
      <c r="D351" s="256"/>
      <c r="E351" s="256"/>
      <c r="F351" s="256"/>
      <c r="G351" s="256"/>
    </row>
    <row r="352" spans="1:7">
      <c r="A352" s="421"/>
      <c r="B352" s="256"/>
      <c r="C352" s="256"/>
      <c r="D352" s="256"/>
      <c r="E352" s="256"/>
      <c r="F352" s="256"/>
      <c r="G352" s="256"/>
    </row>
    <row r="353" spans="1:7">
      <c r="A353" s="421"/>
      <c r="B353" s="256"/>
      <c r="C353" s="256"/>
      <c r="D353" s="256"/>
      <c r="E353" s="256"/>
      <c r="F353" s="256"/>
      <c r="G353" s="256"/>
    </row>
    <row r="354" spans="1:7">
      <c r="A354" s="421"/>
      <c r="B354" s="256"/>
      <c r="C354" s="256"/>
      <c r="D354" s="256"/>
      <c r="E354" s="256"/>
      <c r="F354" s="256"/>
      <c r="G354" s="256"/>
    </row>
    <row r="355" spans="1:7">
      <c r="A355" s="421"/>
      <c r="B355" s="256"/>
      <c r="C355" s="256"/>
      <c r="D355" s="256"/>
      <c r="E355" s="256"/>
      <c r="F355" s="256"/>
      <c r="G355" s="256"/>
    </row>
    <row r="356" spans="1:7">
      <c r="A356" s="421"/>
      <c r="B356" s="256"/>
      <c r="C356" s="256"/>
      <c r="D356" s="256"/>
      <c r="E356" s="256"/>
      <c r="F356" s="256"/>
      <c r="G356" s="256"/>
    </row>
    <row r="357" spans="1:7">
      <c r="A357" s="421"/>
      <c r="B357" s="256"/>
      <c r="C357" s="256"/>
      <c r="D357" s="256"/>
      <c r="E357" s="256"/>
      <c r="F357" s="256"/>
      <c r="G357" s="256"/>
    </row>
    <row r="358" spans="1:7">
      <c r="A358" s="421"/>
      <c r="B358" s="256"/>
      <c r="C358" s="256"/>
      <c r="D358" s="256"/>
      <c r="E358" s="256"/>
      <c r="F358" s="256"/>
      <c r="G358" s="256"/>
    </row>
    <row r="359" spans="1:7">
      <c r="A359" s="421"/>
      <c r="B359" s="256"/>
      <c r="C359" s="256"/>
      <c r="D359" s="256"/>
      <c r="E359" s="256"/>
      <c r="F359" s="256"/>
      <c r="G359" s="256"/>
    </row>
    <row r="360" spans="1:7">
      <c r="A360" s="421"/>
      <c r="B360" s="256"/>
      <c r="C360" s="256"/>
      <c r="D360" s="256"/>
      <c r="E360" s="256"/>
      <c r="F360" s="256"/>
      <c r="G360" s="256"/>
    </row>
    <row r="361" spans="1:7">
      <c r="A361" s="421"/>
      <c r="B361" s="256"/>
      <c r="C361" s="256"/>
      <c r="D361" s="256"/>
      <c r="E361" s="256"/>
      <c r="F361" s="256"/>
      <c r="G361" s="256"/>
    </row>
    <row r="362" spans="1:7">
      <c r="A362" s="421"/>
      <c r="B362" s="256"/>
      <c r="C362" s="256"/>
      <c r="D362" s="256"/>
      <c r="E362" s="256"/>
      <c r="F362" s="256"/>
      <c r="G362" s="256"/>
    </row>
    <row r="363" spans="1:7">
      <c r="A363" s="421"/>
      <c r="B363" s="256"/>
      <c r="C363" s="256"/>
      <c r="D363" s="256"/>
      <c r="E363" s="256"/>
      <c r="F363" s="256"/>
      <c r="G363" s="256"/>
    </row>
    <row r="364" spans="1:7">
      <c r="A364" s="421"/>
      <c r="B364" s="256"/>
      <c r="C364" s="256"/>
      <c r="D364" s="256"/>
      <c r="E364" s="256"/>
      <c r="F364" s="256"/>
      <c r="G364" s="256"/>
    </row>
    <row r="365" spans="1:7">
      <c r="A365" s="421"/>
      <c r="B365" s="256"/>
      <c r="C365" s="256"/>
      <c r="D365" s="256"/>
      <c r="E365" s="256"/>
      <c r="F365" s="256"/>
      <c r="G365" s="256"/>
    </row>
    <row r="366" spans="1:7">
      <c r="A366" s="421"/>
      <c r="B366" s="256"/>
      <c r="C366" s="256"/>
      <c r="D366" s="256"/>
      <c r="E366" s="256"/>
      <c r="F366" s="256"/>
      <c r="G366" s="256"/>
    </row>
    <row r="367" spans="1:7">
      <c r="A367" s="421"/>
      <c r="B367" s="256"/>
      <c r="C367" s="256"/>
      <c r="D367" s="256"/>
      <c r="E367" s="256"/>
      <c r="F367" s="256"/>
      <c r="G367" s="256"/>
    </row>
    <row r="368" spans="1:7">
      <c r="A368" s="421"/>
      <c r="B368" s="256"/>
      <c r="C368" s="256"/>
      <c r="D368" s="256"/>
      <c r="E368" s="256"/>
      <c r="F368" s="256"/>
      <c r="G368" s="256"/>
    </row>
    <row r="369" spans="1:7">
      <c r="A369" s="421"/>
      <c r="B369" s="256"/>
      <c r="C369" s="256"/>
      <c r="D369" s="256"/>
      <c r="E369" s="256"/>
      <c r="F369" s="256"/>
      <c r="G369" s="256"/>
    </row>
    <row r="370" spans="1:7">
      <c r="A370" s="421"/>
      <c r="B370" s="256"/>
      <c r="C370" s="256"/>
      <c r="D370" s="256"/>
      <c r="E370" s="256"/>
      <c r="F370" s="256"/>
      <c r="G370" s="256"/>
    </row>
    <row r="371" spans="1:7">
      <c r="A371" s="419"/>
      <c r="B371" s="256"/>
      <c r="C371" s="256"/>
      <c r="D371" s="256"/>
      <c r="E371" s="256"/>
      <c r="F371" s="256"/>
      <c r="G371" s="256"/>
    </row>
    <row r="372" spans="1:7">
      <c r="A372" s="421"/>
      <c r="B372" s="256"/>
      <c r="C372" s="256"/>
      <c r="D372" s="256"/>
      <c r="E372" s="256"/>
      <c r="F372" s="256"/>
      <c r="G372" s="256"/>
    </row>
    <row r="373" spans="1:7">
      <c r="A373" s="421"/>
      <c r="B373" s="256"/>
      <c r="C373" s="256"/>
      <c r="D373" s="256"/>
      <c r="E373" s="256"/>
      <c r="F373" s="256"/>
      <c r="G373" s="256"/>
    </row>
    <row r="374" spans="1:7">
      <c r="A374" s="421"/>
      <c r="B374" s="256"/>
      <c r="C374" s="256"/>
      <c r="D374" s="256"/>
      <c r="E374" s="256"/>
      <c r="F374" s="256"/>
      <c r="G374" s="256"/>
    </row>
    <row r="375" spans="1:7">
      <c r="A375" s="421"/>
      <c r="B375" s="256"/>
      <c r="C375" s="256"/>
      <c r="D375" s="256"/>
      <c r="E375" s="256"/>
      <c r="F375" s="256"/>
      <c r="G375" s="256"/>
    </row>
    <row r="376" spans="1:7">
      <c r="A376" s="421"/>
      <c r="B376" s="256"/>
      <c r="C376" s="256"/>
      <c r="D376" s="256"/>
      <c r="E376" s="256"/>
      <c r="F376" s="256"/>
      <c r="G376" s="256"/>
    </row>
    <row r="377" spans="1:7">
      <c r="A377" s="421"/>
      <c r="B377" s="256"/>
      <c r="C377" s="256"/>
      <c r="D377" s="256"/>
      <c r="E377" s="256"/>
      <c r="F377" s="256"/>
      <c r="G377" s="256"/>
    </row>
    <row r="378" spans="1:7">
      <c r="A378" s="421"/>
      <c r="B378" s="256"/>
      <c r="C378" s="256"/>
      <c r="D378" s="256"/>
      <c r="E378" s="256"/>
      <c r="F378" s="256"/>
      <c r="G378" s="256"/>
    </row>
    <row r="379" spans="1:7">
      <c r="A379" s="421"/>
      <c r="B379" s="256"/>
      <c r="C379" s="256"/>
      <c r="D379" s="256"/>
      <c r="E379" s="256"/>
      <c r="F379" s="256"/>
      <c r="G379" s="256"/>
    </row>
    <row r="380" spans="1:7">
      <c r="A380" s="421"/>
      <c r="B380" s="256"/>
      <c r="C380" s="256"/>
      <c r="D380" s="256"/>
      <c r="E380" s="256"/>
      <c r="F380" s="256"/>
      <c r="G380" s="256"/>
    </row>
    <row r="381" spans="1:7">
      <c r="A381" s="421"/>
      <c r="B381" s="256"/>
      <c r="C381" s="256"/>
      <c r="D381" s="256"/>
      <c r="E381" s="256"/>
      <c r="F381" s="256"/>
      <c r="G381" s="256"/>
    </row>
    <row r="382" spans="1:7">
      <c r="A382" s="421"/>
      <c r="B382" s="256"/>
      <c r="C382" s="256"/>
      <c r="D382" s="256"/>
      <c r="E382" s="256"/>
      <c r="F382" s="256"/>
      <c r="G382" s="256"/>
    </row>
    <row r="383" spans="1:7">
      <c r="A383" s="421"/>
      <c r="B383" s="256"/>
      <c r="C383" s="256"/>
      <c r="D383" s="256"/>
      <c r="E383" s="256"/>
      <c r="F383" s="256"/>
      <c r="G383" s="256"/>
    </row>
    <row r="384" spans="1:7">
      <c r="A384" s="421"/>
      <c r="B384" s="256"/>
      <c r="C384" s="256"/>
      <c r="D384" s="256"/>
      <c r="E384" s="256"/>
      <c r="F384" s="256"/>
      <c r="G384" s="256"/>
    </row>
    <row r="385" spans="1:7">
      <c r="A385" s="421"/>
      <c r="B385" s="256"/>
      <c r="C385" s="256"/>
      <c r="D385" s="256"/>
      <c r="E385" s="256"/>
      <c r="F385" s="256"/>
      <c r="G385" s="256"/>
    </row>
    <row r="386" spans="1:7">
      <c r="A386" s="419"/>
      <c r="B386" s="256"/>
      <c r="C386" s="256"/>
      <c r="D386" s="256"/>
      <c r="E386" s="256"/>
      <c r="F386" s="256"/>
      <c r="G386" s="256"/>
    </row>
    <row r="387" spans="1:7">
      <c r="A387" s="421"/>
      <c r="B387" s="256"/>
      <c r="C387" s="256"/>
      <c r="D387" s="256"/>
      <c r="E387" s="256"/>
      <c r="F387" s="256"/>
      <c r="G387" s="256"/>
    </row>
    <row r="388" spans="1:7">
      <c r="A388" s="421"/>
      <c r="B388" s="256"/>
      <c r="C388" s="256"/>
      <c r="D388" s="256"/>
      <c r="E388" s="256"/>
      <c r="F388" s="256"/>
      <c r="G388" s="256"/>
    </row>
    <row r="389" spans="1:7">
      <c r="A389" s="421"/>
      <c r="B389" s="256"/>
      <c r="C389" s="256"/>
      <c r="D389" s="256"/>
      <c r="E389" s="256"/>
      <c r="F389" s="256"/>
      <c r="G389" s="256"/>
    </row>
    <row r="390" spans="1:7">
      <c r="A390" s="421"/>
      <c r="B390" s="256"/>
      <c r="C390" s="256"/>
      <c r="D390" s="256"/>
      <c r="E390" s="256"/>
      <c r="F390" s="256"/>
      <c r="G390" s="256"/>
    </row>
    <row r="391" spans="1:7">
      <c r="A391" s="421"/>
      <c r="B391" s="256"/>
      <c r="C391" s="256"/>
      <c r="D391" s="256"/>
      <c r="E391" s="256"/>
      <c r="F391" s="256"/>
      <c r="G391" s="256"/>
    </row>
    <row r="392" spans="1:7">
      <c r="A392" s="421"/>
      <c r="B392" s="256"/>
      <c r="C392" s="256"/>
      <c r="D392" s="256"/>
      <c r="E392" s="256"/>
      <c r="F392" s="256"/>
      <c r="G392" s="256"/>
    </row>
    <row r="393" spans="1:7">
      <c r="A393" s="421"/>
      <c r="B393" s="256"/>
      <c r="C393" s="256"/>
      <c r="D393" s="256"/>
      <c r="E393" s="256"/>
      <c r="F393" s="256"/>
      <c r="G393" s="256"/>
    </row>
    <row r="394" spans="1:7">
      <c r="A394" s="421"/>
      <c r="B394" s="256"/>
      <c r="C394" s="256"/>
      <c r="D394" s="256"/>
      <c r="E394" s="256"/>
      <c r="F394" s="256"/>
      <c r="G394" s="256"/>
    </row>
    <row r="395" spans="1:7">
      <c r="A395" s="421"/>
      <c r="B395" s="256"/>
      <c r="C395" s="256"/>
      <c r="D395" s="256"/>
      <c r="E395" s="256"/>
      <c r="F395" s="256"/>
      <c r="G395" s="256"/>
    </row>
    <row r="396" spans="1:7">
      <c r="A396" s="421"/>
      <c r="B396" s="256"/>
      <c r="C396" s="256"/>
      <c r="D396" s="256"/>
      <c r="E396" s="256"/>
      <c r="F396" s="256"/>
      <c r="G396" s="256"/>
    </row>
    <row r="397" spans="1:7">
      <c r="A397" s="421"/>
      <c r="B397" s="256"/>
      <c r="C397" s="256"/>
      <c r="D397" s="256"/>
      <c r="E397" s="256"/>
      <c r="F397" s="256"/>
      <c r="G397" s="256"/>
    </row>
    <row r="398" spans="1:7">
      <c r="A398" s="421"/>
      <c r="B398" s="256"/>
      <c r="C398" s="256"/>
      <c r="D398" s="256"/>
      <c r="E398" s="256"/>
      <c r="F398" s="256"/>
      <c r="G398" s="256"/>
    </row>
    <row r="399" spans="1:7">
      <c r="A399" s="421"/>
      <c r="B399" s="256"/>
      <c r="C399" s="256"/>
      <c r="D399" s="256"/>
      <c r="E399" s="256"/>
      <c r="F399" s="256"/>
      <c r="G399" s="256"/>
    </row>
    <row r="400" spans="1:7">
      <c r="A400" s="421"/>
      <c r="B400" s="256"/>
      <c r="C400" s="256"/>
      <c r="D400" s="256"/>
      <c r="E400" s="256"/>
      <c r="F400" s="256"/>
      <c r="G400" s="256"/>
    </row>
    <row r="401" spans="1:7">
      <c r="A401" s="421"/>
      <c r="B401" s="256"/>
      <c r="C401" s="256"/>
      <c r="D401" s="256"/>
      <c r="E401" s="256"/>
      <c r="F401" s="256"/>
      <c r="G401" s="256"/>
    </row>
    <row r="402" spans="1:7">
      <c r="A402" s="421"/>
      <c r="B402" s="256"/>
      <c r="C402" s="256"/>
      <c r="D402" s="256"/>
      <c r="E402" s="256"/>
      <c r="F402" s="256"/>
      <c r="G402" s="256"/>
    </row>
    <row r="403" spans="1:7">
      <c r="A403" s="421"/>
      <c r="B403" s="256"/>
      <c r="C403" s="256"/>
      <c r="D403" s="256"/>
      <c r="E403" s="256"/>
      <c r="F403" s="256"/>
      <c r="G403" s="256"/>
    </row>
    <row r="404" spans="1:7">
      <c r="A404" s="421"/>
      <c r="B404" s="256"/>
      <c r="C404" s="256"/>
      <c r="D404" s="256"/>
      <c r="E404" s="256"/>
      <c r="F404" s="256"/>
      <c r="G404" s="256"/>
    </row>
    <row r="405" spans="1:7">
      <c r="A405" s="421"/>
      <c r="B405" s="256"/>
      <c r="C405" s="256"/>
      <c r="D405" s="256"/>
      <c r="E405" s="256"/>
      <c r="F405" s="256"/>
      <c r="G405" s="256"/>
    </row>
    <row r="406" spans="1:7">
      <c r="A406" s="421"/>
      <c r="B406" s="256"/>
      <c r="C406" s="256"/>
      <c r="D406" s="256"/>
      <c r="E406" s="256"/>
      <c r="F406" s="256"/>
      <c r="G406" s="256"/>
    </row>
    <row r="407" spans="1:7">
      <c r="A407" s="421"/>
      <c r="B407" s="256"/>
      <c r="C407" s="256"/>
      <c r="D407" s="256"/>
      <c r="E407" s="256"/>
      <c r="F407" s="256"/>
      <c r="G407" s="256"/>
    </row>
    <row r="408" spans="1:7">
      <c r="A408" s="421"/>
      <c r="B408" s="256"/>
      <c r="C408" s="256"/>
      <c r="D408" s="256"/>
      <c r="E408" s="256"/>
      <c r="F408" s="256"/>
      <c r="G408" s="256"/>
    </row>
    <row r="409" spans="1:7">
      <c r="A409" s="421"/>
      <c r="B409" s="256"/>
      <c r="C409" s="256"/>
      <c r="D409" s="256"/>
      <c r="E409" s="256"/>
      <c r="F409" s="256"/>
      <c r="G409" s="256"/>
    </row>
    <row r="410" spans="1:7">
      <c r="A410" s="421"/>
      <c r="B410" s="256"/>
      <c r="C410" s="256"/>
      <c r="D410" s="256"/>
      <c r="E410" s="256"/>
      <c r="F410" s="256"/>
      <c r="G410" s="256"/>
    </row>
    <row r="411" spans="1:7">
      <c r="A411" s="421"/>
      <c r="B411" s="256"/>
      <c r="C411" s="256"/>
      <c r="D411" s="256"/>
      <c r="E411" s="256"/>
      <c r="F411" s="256"/>
      <c r="G411" s="256"/>
    </row>
    <row r="412" spans="1:7">
      <c r="A412" s="421"/>
      <c r="B412" s="256"/>
      <c r="C412" s="256"/>
      <c r="D412" s="256"/>
      <c r="E412" s="256"/>
      <c r="F412" s="256"/>
      <c r="G412" s="256"/>
    </row>
    <row r="413" spans="1:7">
      <c r="A413" s="421"/>
      <c r="B413" s="256"/>
      <c r="C413" s="256"/>
      <c r="D413" s="256"/>
      <c r="E413" s="256"/>
      <c r="F413" s="256"/>
      <c r="G413" s="256"/>
    </row>
    <row r="414" spans="1:7">
      <c r="A414" s="421"/>
      <c r="B414" s="256"/>
      <c r="C414" s="256"/>
      <c r="D414" s="256"/>
      <c r="E414" s="256"/>
      <c r="F414" s="256"/>
      <c r="G414" s="256"/>
    </row>
    <row r="415" spans="1:7">
      <c r="A415" s="421"/>
      <c r="B415" s="256"/>
      <c r="C415" s="256"/>
      <c r="D415" s="256"/>
      <c r="E415" s="256"/>
      <c r="F415" s="256"/>
      <c r="G415" s="256"/>
    </row>
    <row r="416" spans="1:7">
      <c r="A416" s="421"/>
      <c r="B416" s="256"/>
      <c r="C416" s="256"/>
      <c r="D416" s="256"/>
      <c r="E416" s="256"/>
      <c r="F416" s="256"/>
      <c r="G416" s="256"/>
    </row>
    <row r="417" spans="1:7">
      <c r="A417" s="421"/>
      <c r="B417" s="256"/>
      <c r="C417" s="256"/>
      <c r="D417" s="256"/>
      <c r="E417" s="256"/>
      <c r="F417" s="256"/>
      <c r="G417" s="256"/>
    </row>
    <row r="418" spans="1:7">
      <c r="A418" s="421"/>
      <c r="B418" s="256"/>
      <c r="C418" s="256"/>
      <c r="D418" s="256"/>
      <c r="E418" s="256"/>
      <c r="F418" s="256"/>
      <c r="G418" s="256"/>
    </row>
    <row r="419" spans="1:7">
      <c r="A419" s="421"/>
      <c r="B419" s="256"/>
      <c r="C419" s="256"/>
      <c r="D419" s="256"/>
      <c r="E419" s="256"/>
      <c r="F419" s="256"/>
      <c r="G419" s="256"/>
    </row>
    <row r="420" spans="1:7">
      <c r="A420" s="421"/>
      <c r="B420" s="256"/>
      <c r="C420" s="256"/>
      <c r="D420" s="256"/>
      <c r="E420" s="256"/>
      <c r="F420" s="256"/>
      <c r="G420" s="256"/>
    </row>
    <row r="421" spans="1:7">
      <c r="A421" s="421"/>
      <c r="B421" s="256"/>
      <c r="C421" s="256"/>
      <c r="D421" s="256"/>
      <c r="E421" s="256"/>
      <c r="F421" s="256"/>
      <c r="G421" s="256"/>
    </row>
    <row r="422" spans="1:7">
      <c r="A422" s="421"/>
      <c r="B422" s="256"/>
      <c r="C422" s="256"/>
      <c r="D422" s="256"/>
      <c r="E422" s="256"/>
      <c r="F422" s="256"/>
      <c r="G422" s="256"/>
    </row>
    <row r="423" spans="1:7">
      <c r="A423" s="421"/>
      <c r="B423" s="256"/>
      <c r="C423" s="256"/>
      <c r="D423" s="256"/>
      <c r="E423" s="256"/>
      <c r="F423" s="256"/>
      <c r="G423" s="256"/>
    </row>
    <row r="424" spans="1:7">
      <c r="A424" s="421"/>
      <c r="B424" s="256"/>
      <c r="C424" s="256"/>
      <c r="D424" s="256"/>
      <c r="E424" s="256"/>
      <c r="F424" s="256"/>
      <c r="G424" s="256"/>
    </row>
    <row r="425" spans="1:7">
      <c r="A425" s="421"/>
      <c r="B425" s="256"/>
      <c r="C425" s="256"/>
      <c r="D425" s="256"/>
      <c r="E425" s="256"/>
      <c r="F425" s="256"/>
      <c r="G425" s="256"/>
    </row>
    <row r="426" spans="1:7">
      <c r="A426" s="421"/>
      <c r="B426" s="256"/>
      <c r="C426" s="256"/>
      <c r="D426" s="256"/>
      <c r="E426" s="256"/>
      <c r="F426" s="256"/>
      <c r="G426" s="256"/>
    </row>
    <row r="427" spans="1:7">
      <c r="A427" s="421"/>
      <c r="B427" s="256"/>
      <c r="C427" s="256"/>
      <c r="D427" s="256"/>
      <c r="E427" s="256"/>
      <c r="F427" s="256"/>
      <c r="G427" s="256"/>
    </row>
    <row r="428" spans="1:7">
      <c r="A428" s="421"/>
      <c r="B428" s="256"/>
      <c r="C428" s="256"/>
      <c r="D428" s="256"/>
      <c r="E428" s="256"/>
      <c r="F428" s="256"/>
      <c r="G428" s="256"/>
    </row>
    <row r="429" spans="1:7">
      <c r="A429" s="419"/>
      <c r="B429" s="256"/>
      <c r="C429" s="256"/>
      <c r="D429" s="256"/>
      <c r="E429" s="256"/>
      <c r="F429" s="256"/>
      <c r="G429" s="256"/>
    </row>
    <row r="430" spans="1:7">
      <c r="A430" s="421"/>
      <c r="B430" s="256"/>
      <c r="C430" s="256"/>
      <c r="D430" s="256"/>
      <c r="E430" s="256"/>
      <c r="F430" s="256"/>
      <c r="G430" s="256"/>
    </row>
    <row r="431" spans="1:7">
      <c r="A431" s="421"/>
      <c r="B431" s="256"/>
      <c r="C431" s="256"/>
      <c r="D431" s="256"/>
      <c r="E431" s="256"/>
      <c r="F431" s="256"/>
      <c r="G431" s="256"/>
    </row>
    <row r="432" spans="1:7">
      <c r="A432" s="421"/>
      <c r="B432" s="256"/>
      <c r="C432" s="256"/>
      <c r="D432" s="256"/>
      <c r="E432" s="256"/>
      <c r="F432" s="256"/>
      <c r="G432" s="256"/>
    </row>
    <row r="433" spans="1:7">
      <c r="A433" s="421"/>
      <c r="B433" s="256"/>
      <c r="C433" s="256"/>
      <c r="D433" s="256"/>
      <c r="E433" s="256"/>
      <c r="F433" s="256"/>
      <c r="G433" s="256"/>
    </row>
    <row r="434" spans="1:7">
      <c r="A434" s="421"/>
      <c r="B434" s="256"/>
      <c r="C434" s="256"/>
      <c r="D434" s="256"/>
      <c r="E434" s="256"/>
      <c r="F434" s="256"/>
      <c r="G434" s="256"/>
    </row>
    <row r="435" spans="1:7">
      <c r="A435" s="421"/>
      <c r="B435" s="256"/>
      <c r="C435" s="256"/>
      <c r="D435" s="256"/>
      <c r="E435" s="256"/>
      <c r="F435" s="256"/>
      <c r="G435" s="256"/>
    </row>
    <row r="436" spans="1:7">
      <c r="A436" s="421"/>
      <c r="B436" s="256"/>
      <c r="C436" s="256"/>
      <c r="D436" s="256"/>
      <c r="E436" s="256"/>
      <c r="F436" s="256"/>
      <c r="G436" s="256"/>
    </row>
    <row r="437" spans="1:7">
      <c r="A437" s="421"/>
      <c r="B437" s="256"/>
      <c r="C437" s="256"/>
      <c r="D437" s="256"/>
      <c r="E437" s="256"/>
      <c r="F437" s="256"/>
      <c r="G437" s="256"/>
    </row>
    <row r="438" spans="1:7">
      <c r="A438" s="421"/>
      <c r="B438" s="256"/>
      <c r="C438" s="256"/>
      <c r="D438" s="256"/>
      <c r="E438" s="256"/>
      <c r="F438" s="256"/>
      <c r="G438" s="256"/>
    </row>
    <row r="439" spans="1:7">
      <c r="A439" s="421"/>
      <c r="B439" s="256"/>
      <c r="C439" s="256"/>
      <c r="D439" s="256"/>
      <c r="E439" s="256"/>
      <c r="F439" s="256"/>
      <c r="G439" s="256"/>
    </row>
    <row r="440" spans="1:7">
      <c r="A440" s="421"/>
      <c r="B440" s="256"/>
      <c r="C440" s="256"/>
      <c r="D440" s="256"/>
      <c r="E440" s="256"/>
      <c r="F440" s="256"/>
      <c r="G440" s="256"/>
    </row>
    <row r="441" spans="1:7">
      <c r="A441" s="421"/>
      <c r="B441" s="256"/>
      <c r="C441" s="256"/>
      <c r="D441" s="256"/>
      <c r="E441" s="256"/>
      <c r="F441" s="256"/>
      <c r="G441" s="256"/>
    </row>
    <row r="442" spans="1:7">
      <c r="A442" s="421"/>
      <c r="B442" s="256"/>
      <c r="C442" s="256"/>
      <c r="D442" s="256"/>
      <c r="E442" s="256"/>
      <c r="F442" s="256"/>
      <c r="G442" s="256"/>
    </row>
    <row r="443" spans="1:7">
      <c r="A443" s="421"/>
      <c r="B443" s="256"/>
      <c r="C443" s="256"/>
      <c r="D443" s="256"/>
      <c r="E443" s="256"/>
      <c r="F443" s="256"/>
      <c r="G443" s="256"/>
    </row>
    <row r="444" spans="1:7">
      <c r="A444" s="419"/>
      <c r="B444" s="256"/>
      <c r="C444" s="256"/>
      <c r="D444" s="256"/>
      <c r="E444" s="256"/>
      <c r="F444" s="256"/>
      <c r="G444" s="256"/>
    </row>
    <row r="445" spans="1:7">
      <c r="A445" s="421"/>
      <c r="B445" s="256"/>
      <c r="C445" s="256"/>
      <c r="D445" s="256"/>
      <c r="E445" s="256"/>
      <c r="F445" s="256"/>
      <c r="G445" s="256"/>
    </row>
    <row r="446" spans="1:7">
      <c r="A446" s="421"/>
      <c r="B446" s="256"/>
      <c r="C446" s="256"/>
      <c r="D446" s="256"/>
      <c r="E446" s="256"/>
      <c r="F446" s="256"/>
      <c r="G446" s="256"/>
    </row>
    <row r="447" spans="1:7">
      <c r="A447" s="421"/>
      <c r="B447" s="256"/>
      <c r="C447" s="256"/>
      <c r="D447" s="256"/>
      <c r="E447" s="256"/>
      <c r="F447" s="256"/>
      <c r="G447" s="256"/>
    </row>
    <row r="448" spans="1:7">
      <c r="A448" s="421"/>
      <c r="B448" s="256"/>
      <c r="C448" s="256"/>
      <c r="D448" s="256"/>
      <c r="E448" s="256"/>
      <c r="F448" s="256"/>
      <c r="G448" s="256"/>
    </row>
    <row r="449" spans="1:7">
      <c r="A449" s="421"/>
      <c r="B449" s="256"/>
      <c r="C449" s="256"/>
      <c r="D449" s="256"/>
      <c r="E449" s="256"/>
      <c r="F449" s="256"/>
      <c r="G449" s="256"/>
    </row>
    <row r="450" spans="1:7">
      <c r="A450" s="421"/>
      <c r="B450" s="256"/>
      <c r="C450" s="256"/>
      <c r="D450" s="256"/>
      <c r="E450" s="256"/>
      <c r="F450" s="256"/>
      <c r="G450" s="256"/>
    </row>
    <row r="451" spans="1:7">
      <c r="A451" s="421"/>
      <c r="B451" s="256"/>
      <c r="C451" s="256"/>
      <c r="D451" s="256"/>
      <c r="E451" s="256"/>
      <c r="F451" s="256"/>
      <c r="G451" s="256"/>
    </row>
    <row r="452" spans="1:7">
      <c r="A452" s="421"/>
      <c r="B452" s="256"/>
      <c r="C452" s="256"/>
      <c r="D452" s="256"/>
      <c r="E452" s="256"/>
      <c r="F452" s="256"/>
      <c r="G452" s="256"/>
    </row>
    <row r="453" spans="1:7">
      <c r="A453" s="421"/>
      <c r="B453" s="256"/>
      <c r="C453" s="256"/>
      <c r="D453" s="256"/>
      <c r="E453" s="256"/>
      <c r="F453" s="256"/>
      <c r="G453" s="256"/>
    </row>
    <row r="454" spans="1:7">
      <c r="A454" s="421"/>
      <c r="B454" s="256"/>
      <c r="C454" s="256"/>
      <c r="D454" s="256"/>
      <c r="E454" s="256"/>
      <c r="F454" s="256"/>
      <c r="G454" s="256"/>
    </row>
    <row r="455" spans="1:7">
      <c r="A455" s="421"/>
      <c r="B455" s="256"/>
      <c r="C455" s="256"/>
      <c r="D455" s="256"/>
      <c r="E455" s="256"/>
      <c r="F455" s="256"/>
      <c r="G455" s="256"/>
    </row>
    <row r="456" spans="1:7">
      <c r="A456" s="421"/>
      <c r="B456" s="256"/>
      <c r="C456" s="256"/>
      <c r="D456" s="256"/>
      <c r="E456" s="256"/>
      <c r="F456" s="256"/>
      <c r="G456" s="256"/>
    </row>
    <row r="457" spans="1:7">
      <c r="A457" s="421"/>
      <c r="B457" s="256"/>
      <c r="C457" s="256"/>
      <c r="D457" s="256"/>
      <c r="E457" s="256"/>
      <c r="F457" s="256"/>
      <c r="G457" s="256"/>
    </row>
    <row r="458" spans="1:7">
      <c r="A458" s="421"/>
      <c r="B458" s="256"/>
      <c r="C458" s="256"/>
      <c r="D458" s="256"/>
      <c r="E458" s="256"/>
      <c r="F458" s="256"/>
      <c r="G458" s="256"/>
    </row>
    <row r="459" spans="1:7">
      <c r="A459" s="421"/>
      <c r="B459" s="256"/>
      <c r="C459" s="256"/>
      <c r="D459" s="256"/>
      <c r="E459" s="256"/>
      <c r="F459" s="256"/>
      <c r="G459" s="256"/>
    </row>
    <row r="460" spans="1:7">
      <c r="A460" s="421"/>
      <c r="B460" s="256"/>
      <c r="C460" s="256"/>
      <c r="D460" s="256"/>
      <c r="E460" s="256"/>
      <c r="F460" s="256"/>
      <c r="G460" s="256"/>
    </row>
    <row r="461" spans="1:7">
      <c r="A461" s="421"/>
      <c r="B461" s="256"/>
      <c r="C461" s="256"/>
      <c r="D461" s="256"/>
      <c r="E461" s="256"/>
      <c r="F461" s="256"/>
      <c r="G461" s="256"/>
    </row>
    <row r="462" spans="1:7">
      <c r="A462" s="421"/>
      <c r="B462" s="256"/>
      <c r="C462" s="256"/>
      <c r="D462" s="256"/>
      <c r="E462" s="256"/>
      <c r="F462" s="256"/>
      <c r="G462" s="256"/>
    </row>
    <row r="463" spans="1:7">
      <c r="A463" s="421"/>
      <c r="B463" s="256"/>
      <c r="C463" s="256"/>
      <c r="D463" s="256"/>
      <c r="E463" s="256"/>
      <c r="F463" s="256"/>
      <c r="G463" s="256"/>
    </row>
    <row r="464" spans="1:7">
      <c r="A464" s="421"/>
      <c r="B464" s="256"/>
      <c r="C464" s="256"/>
      <c r="D464" s="256"/>
      <c r="E464" s="256"/>
      <c r="F464" s="256"/>
      <c r="G464" s="256"/>
    </row>
    <row r="465" spans="1:7">
      <c r="A465" s="421"/>
      <c r="B465" s="256"/>
      <c r="C465" s="256"/>
      <c r="D465" s="256"/>
      <c r="E465" s="256"/>
      <c r="F465" s="256"/>
      <c r="G465" s="256"/>
    </row>
    <row r="466" spans="1:7">
      <c r="A466" s="421"/>
      <c r="B466" s="256"/>
      <c r="C466" s="256"/>
      <c r="D466" s="256"/>
      <c r="E466" s="256"/>
      <c r="F466" s="256"/>
      <c r="G466" s="256"/>
    </row>
    <row r="467" spans="1:7">
      <c r="A467" s="421"/>
      <c r="B467" s="256"/>
      <c r="C467" s="256"/>
      <c r="D467" s="256"/>
      <c r="E467" s="256"/>
      <c r="F467" s="256"/>
      <c r="G467" s="256"/>
    </row>
    <row r="468" spans="1:7">
      <c r="A468" s="421"/>
      <c r="B468" s="256"/>
      <c r="C468" s="256"/>
      <c r="D468" s="256"/>
      <c r="E468" s="256"/>
      <c r="F468" s="256"/>
      <c r="G468" s="256"/>
    </row>
    <row r="469" spans="1:7">
      <c r="A469" s="421"/>
      <c r="B469" s="256"/>
      <c r="C469" s="256"/>
      <c r="D469" s="256"/>
      <c r="E469" s="256"/>
      <c r="F469" s="256"/>
      <c r="G469" s="256"/>
    </row>
    <row r="470" spans="1:7">
      <c r="A470" s="421"/>
      <c r="B470" s="256"/>
      <c r="C470" s="256"/>
      <c r="D470" s="256"/>
      <c r="E470" s="256"/>
      <c r="F470" s="256"/>
      <c r="G470" s="256"/>
    </row>
    <row r="471" spans="1:7">
      <c r="A471" s="421"/>
      <c r="B471" s="256"/>
      <c r="C471" s="256"/>
      <c r="D471" s="256"/>
      <c r="E471" s="256"/>
      <c r="F471" s="256"/>
      <c r="G471" s="256"/>
    </row>
    <row r="472" spans="1:7">
      <c r="A472" s="421"/>
      <c r="B472" s="256"/>
      <c r="C472" s="256"/>
      <c r="D472" s="256"/>
      <c r="E472" s="256"/>
      <c r="F472" s="256"/>
      <c r="G472" s="256"/>
    </row>
    <row r="473" spans="1:7">
      <c r="A473" s="421"/>
      <c r="B473" s="256"/>
      <c r="C473" s="256"/>
      <c r="D473" s="256"/>
      <c r="E473" s="256"/>
      <c r="F473" s="256"/>
      <c r="G473" s="256"/>
    </row>
    <row r="474" spans="1:7">
      <c r="A474" s="421"/>
      <c r="B474" s="256"/>
      <c r="C474" s="256"/>
      <c r="D474" s="256"/>
      <c r="E474" s="256"/>
      <c r="F474" s="256"/>
      <c r="G474" s="256"/>
    </row>
    <row r="475" spans="1:7">
      <c r="A475" s="421"/>
      <c r="B475" s="256"/>
      <c r="C475" s="256"/>
      <c r="D475" s="256"/>
      <c r="E475" s="256"/>
      <c r="F475" s="256"/>
      <c r="G475" s="256"/>
    </row>
    <row r="476" spans="1:7">
      <c r="A476" s="421"/>
      <c r="B476" s="256"/>
      <c r="C476" s="256"/>
      <c r="D476" s="256"/>
      <c r="E476" s="256"/>
      <c r="F476" s="256"/>
      <c r="G476" s="256"/>
    </row>
    <row r="477" spans="1:7">
      <c r="A477" s="421"/>
      <c r="B477" s="256"/>
      <c r="C477" s="256"/>
      <c r="D477" s="256"/>
      <c r="E477" s="256"/>
      <c r="F477" s="256"/>
      <c r="G477" s="256"/>
    </row>
    <row r="478" spans="1:7">
      <c r="A478" s="421"/>
      <c r="B478" s="256"/>
      <c r="C478" s="256"/>
      <c r="D478" s="256"/>
      <c r="E478" s="256"/>
      <c r="F478" s="256"/>
      <c r="G478" s="256"/>
    </row>
    <row r="479" spans="1:7">
      <c r="A479" s="421"/>
      <c r="B479" s="256"/>
      <c r="C479" s="256"/>
      <c r="D479" s="256"/>
      <c r="E479" s="256"/>
      <c r="F479" s="256"/>
      <c r="G479" s="256"/>
    </row>
    <row r="480" spans="1:7">
      <c r="A480" s="421"/>
      <c r="B480" s="256"/>
      <c r="C480" s="256"/>
      <c r="D480" s="256"/>
      <c r="E480" s="256"/>
      <c r="F480" s="256"/>
      <c r="G480" s="256"/>
    </row>
    <row r="481" spans="1:7">
      <c r="A481" s="421"/>
      <c r="B481" s="256"/>
      <c r="C481" s="256"/>
      <c r="D481" s="256"/>
      <c r="E481" s="256"/>
      <c r="F481" s="256"/>
      <c r="G481" s="256"/>
    </row>
    <row r="482" spans="1:7">
      <c r="A482" s="421"/>
      <c r="B482" s="256"/>
      <c r="C482" s="256"/>
      <c r="D482" s="256"/>
      <c r="E482" s="256"/>
      <c r="F482" s="256"/>
      <c r="G482" s="256"/>
    </row>
    <row r="483" spans="1:7">
      <c r="A483" s="421"/>
      <c r="B483" s="256"/>
      <c r="C483" s="256"/>
      <c r="D483" s="256"/>
      <c r="E483" s="256"/>
      <c r="F483" s="256"/>
      <c r="G483" s="256"/>
    </row>
    <row r="484" spans="1:7">
      <c r="A484" s="421"/>
      <c r="B484" s="256"/>
      <c r="C484" s="256"/>
      <c r="D484" s="256"/>
      <c r="E484" s="256"/>
      <c r="F484" s="256"/>
      <c r="G484" s="256"/>
    </row>
    <row r="485" spans="1:7">
      <c r="A485" s="421"/>
      <c r="B485" s="256"/>
      <c r="C485" s="256"/>
      <c r="D485" s="256"/>
      <c r="E485" s="256"/>
      <c r="F485" s="256"/>
      <c r="G485" s="256"/>
    </row>
    <row r="486" spans="1:7">
      <c r="A486" s="421"/>
      <c r="B486" s="256"/>
      <c r="C486" s="256"/>
      <c r="D486" s="256"/>
      <c r="E486" s="256"/>
      <c r="F486" s="256"/>
      <c r="G486" s="256"/>
    </row>
    <row r="487" spans="1:7">
      <c r="A487" s="419"/>
      <c r="B487" s="256"/>
      <c r="C487" s="256"/>
      <c r="D487" s="256"/>
      <c r="E487" s="256"/>
      <c r="F487" s="256"/>
      <c r="G487" s="256"/>
    </row>
    <row r="488" spans="1:7">
      <c r="A488" s="421"/>
      <c r="B488" s="256"/>
      <c r="C488" s="256"/>
      <c r="D488" s="256"/>
      <c r="E488" s="256"/>
      <c r="F488" s="256"/>
      <c r="G488" s="256"/>
    </row>
    <row r="489" spans="1:7">
      <c r="A489" s="421"/>
      <c r="B489" s="256"/>
      <c r="C489" s="256"/>
      <c r="D489" s="256"/>
      <c r="E489" s="256"/>
      <c r="F489" s="256"/>
      <c r="G489" s="256"/>
    </row>
    <row r="490" spans="1:7">
      <c r="A490" s="421"/>
      <c r="B490" s="256"/>
      <c r="C490" s="256"/>
      <c r="D490" s="256"/>
      <c r="E490" s="256"/>
      <c r="F490" s="256"/>
      <c r="G490" s="256"/>
    </row>
    <row r="491" spans="1:7">
      <c r="A491" s="421"/>
      <c r="B491" s="256"/>
      <c r="C491" s="256"/>
      <c r="D491" s="256"/>
      <c r="E491" s="256"/>
      <c r="F491" s="256"/>
      <c r="G491" s="256"/>
    </row>
    <row r="492" spans="1:7">
      <c r="A492" s="421"/>
      <c r="B492" s="256"/>
      <c r="C492" s="256"/>
      <c r="D492" s="256"/>
      <c r="E492" s="256"/>
      <c r="F492" s="256"/>
      <c r="G492" s="256"/>
    </row>
    <row r="493" spans="1:7">
      <c r="A493" s="421"/>
      <c r="B493" s="256"/>
      <c r="C493" s="256"/>
      <c r="D493" s="256"/>
      <c r="E493" s="256"/>
      <c r="F493" s="256"/>
      <c r="G493" s="256"/>
    </row>
    <row r="494" spans="1:7">
      <c r="A494" s="421"/>
      <c r="B494" s="256"/>
      <c r="C494" s="256"/>
      <c r="D494" s="256"/>
      <c r="E494" s="256"/>
      <c r="F494" s="256"/>
      <c r="G494" s="256"/>
    </row>
    <row r="495" spans="1:7">
      <c r="A495" s="421"/>
      <c r="B495" s="256"/>
      <c r="C495" s="256"/>
      <c r="D495" s="256"/>
      <c r="E495" s="256"/>
      <c r="F495" s="256"/>
      <c r="G495" s="256"/>
    </row>
    <row r="496" spans="1:7">
      <c r="A496" s="421"/>
      <c r="B496" s="256"/>
      <c r="C496" s="256"/>
      <c r="D496" s="256"/>
      <c r="E496" s="256"/>
      <c r="F496" s="256"/>
      <c r="G496" s="256"/>
    </row>
    <row r="497" spans="1:7">
      <c r="A497" s="421"/>
      <c r="B497" s="256"/>
      <c r="C497" s="256"/>
      <c r="D497" s="256"/>
      <c r="E497" s="256"/>
      <c r="F497" s="256"/>
      <c r="G497" s="256"/>
    </row>
    <row r="498" spans="1:7">
      <c r="A498" s="421"/>
      <c r="B498" s="256"/>
      <c r="C498" s="256"/>
      <c r="D498" s="256"/>
      <c r="E498" s="256"/>
      <c r="F498" s="256"/>
      <c r="G498" s="256"/>
    </row>
    <row r="499" spans="1:7">
      <c r="A499" s="421"/>
      <c r="B499" s="256"/>
      <c r="C499" s="256"/>
      <c r="D499" s="256"/>
      <c r="E499" s="256"/>
      <c r="F499" s="256"/>
      <c r="G499" s="256"/>
    </row>
    <row r="500" spans="1:7">
      <c r="A500" s="421"/>
      <c r="B500" s="256"/>
      <c r="C500" s="256"/>
      <c r="D500" s="256"/>
      <c r="E500" s="256"/>
      <c r="F500" s="256"/>
      <c r="G500" s="256"/>
    </row>
    <row r="501" spans="1:7">
      <c r="A501" s="421"/>
      <c r="B501" s="256"/>
      <c r="C501" s="256"/>
      <c r="D501" s="256"/>
      <c r="E501" s="256"/>
      <c r="F501" s="256"/>
      <c r="G501" s="256"/>
    </row>
    <row r="502" spans="1:7">
      <c r="A502" s="419"/>
      <c r="B502" s="256"/>
      <c r="C502" s="256"/>
      <c r="D502" s="256"/>
      <c r="E502" s="256"/>
      <c r="F502" s="256"/>
      <c r="G502" s="256"/>
    </row>
    <row r="503" spans="1:7">
      <c r="A503" s="421"/>
      <c r="B503" s="256"/>
      <c r="C503" s="256"/>
      <c r="D503" s="256"/>
      <c r="E503" s="256"/>
      <c r="F503" s="256"/>
      <c r="G503" s="256"/>
    </row>
    <row r="504" spans="1:7">
      <c r="A504" s="421"/>
      <c r="B504" s="256"/>
      <c r="C504" s="256"/>
      <c r="D504" s="256"/>
      <c r="E504" s="256"/>
      <c r="F504" s="256"/>
      <c r="G504" s="256"/>
    </row>
    <row r="505" spans="1:7">
      <c r="A505" s="421"/>
      <c r="B505" s="256"/>
      <c r="C505" s="256"/>
      <c r="D505" s="256"/>
      <c r="E505" s="256"/>
      <c r="F505" s="256"/>
      <c r="G505" s="256"/>
    </row>
    <row r="506" spans="1:7">
      <c r="B506" s="256"/>
      <c r="C506" s="256"/>
      <c r="D506" s="256"/>
      <c r="E506" s="256"/>
      <c r="F506" s="256"/>
      <c r="G506" s="256"/>
    </row>
    <row r="507" spans="1:7">
      <c r="B507" s="256"/>
      <c r="C507" s="256"/>
      <c r="D507" s="256"/>
      <c r="E507" s="256"/>
      <c r="F507" s="256"/>
      <c r="G507" s="256"/>
    </row>
    <row r="508" spans="1:7">
      <c r="B508" s="256"/>
      <c r="C508" s="256"/>
      <c r="D508" s="256"/>
      <c r="E508" s="256"/>
      <c r="F508" s="256"/>
      <c r="G508" s="256"/>
    </row>
    <row r="509" spans="1:7">
      <c r="B509" s="256"/>
      <c r="C509" s="256"/>
      <c r="D509" s="256"/>
      <c r="E509" s="256"/>
      <c r="F509" s="256"/>
      <c r="G509" s="256"/>
    </row>
    <row r="510" spans="1:7">
      <c r="B510" s="256"/>
      <c r="C510" s="256"/>
      <c r="D510" s="256"/>
      <c r="E510" s="256"/>
      <c r="F510" s="256"/>
      <c r="G510" s="256"/>
    </row>
    <row r="511" spans="1:7">
      <c r="B511" s="256"/>
      <c r="C511" s="256"/>
      <c r="D511" s="256"/>
      <c r="E511" s="256"/>
      <c r="F511" s="256"/>
      <c r="G511" s="256"/>
    </row>
    <row r="512" spans="1:7">
      <c r="B512" s="256"/>
      <c r="C512" s="256"/>
      <c r="D512" s="256"/>
      <c r="E512" s="256"/>
      <c r="F512" s="256"/>
      <c r="G512" s="256"/>
    </row>
    <row r="513" spans="2:7">
      <c r="B513" s="256"/>
      <c r="C513" s="256"/>
      <c r="D513" s="256"/>
      <c r="E513" s="256"/>
      <c r="F513" s="256"/>
      <c r="G513" s="256"/>
    </row>
    <row r="514" spans="2:7">
      <c r="B514" s="256"/>
      <c r="C514" s="256"/>
      <c r="D514" s="256"/>
      <c r="E514" s="256"/>
      <c r="F514" s="256"/>
      <c r="G514" s="256"/>
    </row>
    <row r="515" spans="2:7">
      <c r="B515" s="256"/>
      <c r="C515" s="256"/>
      <c r="D515" s="256"/>
      <c r="E515" s="256"/>
      <c r="F515" s="256"/>
      <c r="G515" s="256"/>
    </row>
    <row r="516" spans="2:7">
      <c r="B516" s="256"/>
      <c r="C516" s="256"/>
      <c r="D516" s="256"/>
      <c r="E516" s="256"/>
      <c r="F516" s="256"/>
      <c r="G516" s="256"/>
    </row>
    <row r="517" spans="2:7">
      <c r="B517" s="256"/>
      <c r="C517" s="256"/>
      <c r="D517" s="256"/>
      <c r="E517" s="256"/>
      <c r="F517" s="256"/>
      <c r="G517" s="256"/>
    </row>
    <row r="518" spans="2:7">
      <c r="B518" s="256"/>
      <c r="C518" s="256"/>
      <c r="D518" s="256"/>
      <c r="E518" s="256"/>
      <c r="F518" s="256"/>
      <c r="G518" s="256"/>
    </row>
    <row r="519" spans="2:7">
      <c r="B519" s="256"/>
      <c r="C519" s="256"/>
      <c r="D519" s="256"/>
      <c r="E519" s="256"/>
      <c r="F519" s="256"/>
      <c r="G519" s="256"/>
    </row>
    <row r="520" spans="2:7">
      <c r="B520" s="256"/>
      <c r="C520" s="256"/>
      <c r="D520" s="256"/>
      <c r="E520" s="256"/>
      <c r="F520" s="256"/>
      <c r="G520" s="256"/>
    </row>
    <row r="521" spans="2:7">
      <c r="B521" s="256"/>
      <c r="C521" s="256"/>
      <c r="D521" s="256"/>
      <c r="E521" s="256"/>
      <c r="F521" s="256"/>
      <c r="G521" s="256"/>
    </row>
    <row r="522" spans="2:7">
      <c r="B522" s="256"/>
      <c r="C522" s="256"/>
      <c r="D522" s="256"/>
      <c r="E522" s="256"/>
      <c r="F522" s="256"/>
      <c r="G522" s="256"/>
    </row>
    <row r="523" spans="2:7">
      <c r="B523" s="256"/>
      <c r="C523" s="256"/>
      <c r="D523" s="256"/>
      <c r="E523" s="256"/>
      <c r="F523" s="256"/>
      <c r="G523" s="256"/>
    </row>
    <row r="524" spans="2:7">
      <c r="B524" s="256"/>
      <c r="C524" s="256"/>
      <c r="D524" s="256"/>
      <c r="E524" s="256"/>
      <c r="F524" s="256"/>
      <c r="G524" s="256"/>
    </row>
    <row r="525" spans="2:7">
      <c r="B525" s="256"/>
      <c r="C525" s="256"/>
      <c r="D525" s="256"/>
      <c r="E525" s="256"/>
      <c r="F525" s="256"/>
      <c r="G525" s="256"/>
    </row>
    <row r="526" spans="2:7">
      <c r="B526" s="256"/>
      <c r="C526" s="256"/>
      <c r="D526" s="256"/>
      <c r="E526" s="256"/>
      <c r="F526" s="256"/>
      <c r="G526" s="256"/>
    </row>
    <row r="527" spans="2:7">
      <c r="B527" s="256"/>
      <c r="C527" s="256"/>
      <c r="D527" s="256"/>
      <c r="E527" s="256"/>
      <c r="F527" s="256"/>
      <c r="G527" s="256"/>
    </row>
    <row r="528" spans="2:7">
      <c r="B528" s="256"/>
      <c r="C528" s="256"/>
      <c r="D528" s="256"/>
      <c r="E528" s="256"/>
      <c r="F528" s="256"/>
      <c r="G528" s="256"/>
    </row>
    <row r="529" spans="2:7">
      <c r="B529" s="256"/>
      <c r="C529" s="256"/>
      <c r="D529" s="256"/>
      <c r="E529" s="256"/>
      <c r="F529" s="256"/>
      <c r="G529" s="256"/>
    </row>
    <row r="530" spans="2:7">
      <c r="B530" s="256"/>
      <c r="C530" s="256"/>
      <c r="D530" s="256"/>
      <c r="E530" s="256"/>
      <c r="F530" s="256"/>
      <c r="G530" s="256"/>
    </row>
    <row r="531" spans="2:7">
      <c r="B531" s="256"/>
      <c r="C531" s="256"/>
      <c r="D531" s="256"/>
      <c r="E531" s="256"/>
      <c r="F531" s="256"/>
      <c r="G531" s="256"/>
    </row>
    <row r="532" spans="2:7">
      <c r="B532" s="256"/>
      <c r="C532" s="256"/>
      <c r="D532" s="256"/>
      <c r="E532" s="256"/>
      <c r="F532" s="256"/>
      <c r="G532" s="256"/>
    </row>
    <row r="533" spans="2:7">
      <c r="B533" s="256"/>
      <c r="C533" s="256"/>
      <c r="D533" s="256"/>
      <c r="E533" s="256"/>
      <c r="F533" s="256"/>
      <c r="G533" s="256"/>
    </row>
    <row r="534" spans="2:7">
      <c r="B534" s="256"/>
      <c r="C534" s="256"/>
      <c r="D534" s="256"/>
      <c r="E534" s="256"/>
      <c r="F534" s="256"/>
      <c r="G534" s="256"/>
    </row>
    <row r="535" spans="2:7">
      <c r="B535" s="256"/>
      <c r="C535" s="256"/>
      <c r="D535" s="256"/>
      <c r="E535" s="256"/>
      <c r="F535" s="256"/>
      <c r="G535" s="256"/>
    </row>
    <row r="536" spans="2:7">
      <c r="B536" s="256"/>
      <c r="C536" s="256"/>
      <c r="D536" s="256"/>
      <c r="E536" s="256"/>
      <c r="F536" s="256"/>
      <c r="G536" s="256"/>
    </row>
    <row r="537" spans="2:7">
      <c r="B537" s="256"/>
      <c r="C537" s="256"/>
      <c r="D537" s="256"/>
      <c r="E537" s="256"/>
      <c r="F537" s="256"/>
      <c r="G537" s="256"/>
    </row>
    <row r="538" spans="2:7">
      <c r="B538" s="256"/>
      <c r="C538" s="256"/>
      <c r="D538" s="256"/>
      <c r="E538" s="256"/>
      <c r="F538" s="256"/>
      <c r="G538" s="256"/>
    </row>
    <row r="539" spans="2:7">
      <c r="B539" s="256"/>
      <c r="C539" s="256"/>
      <c r="D539" s="256"/>
      <c r="E539" s="256"/>
      <c r="F539" s="256"/>
      <c r="G539" s="256"/>
    </row>
    <row r="540" spans="2:7">
      <c r="B540" s="256"/>
      <c r="C540" s="256"/>
      <c r="D540" s="256"/>
      <c r="E540" s="256"/>
      <c r="F540" s="256"/>
      <c r="G540" s="256"/>
    </row>
    <row r="541" spans="2:7">
      <c r="B541" s="256"/>
      <c r="C541" s="256"/>
      <c r="D541" s="256"/>
      <c r="E541" s="256"/>
      <c r="F541" s="256"/>
      <c r="G541" s="256"/>
    </row>
    <row r="542" spans="2:7">
      <c r="B542" s="256"/>
      <c r="C542" s="256"/>
      <c r="D542" s="256"/>
      <c r="E542" s="256"/>
      <c r="F542" s="256"/>
      <c r="G542" s="256"/>
    </row>
    <row r="543" spans="2:7">
      <c r="B543" s="256"/>
      <c r="C543" s="256"/>
      <c r="D543" s="256"/>
      <c r="E543" s="256"/>
      <c r="F543" s="256"/>
      <c r="G543" s="256"/>
    </row>
    <row r="544" spans="2:7">
      <c r="B544" s="256"/>
      <c r="C544" s="256"/>
      <c r="D544" s="256"/>
      <c r="E544" s="256"/>
      <c r="F544" s="256"/>
      <c r="G544" s="256"/>
    </row>
    <row r="545" spans="2:7">
      <c r="B545" s="256"/>
      <c r="C545" s="256"/>
      <c r="D545" s="256"/>
      <c r="E545" s="256"/>
      <c r="F545" s="256"/>
      <c r="G545" s="256"/>
    </row>
    <row r="546" spans="2:7">
      <c r="B546" s="256"/>
      <c r="C546" s="256"/>
      <c r="D546" s="256"/>
      <c r="E546" s="256"/>
      <c r="F546" s="256"/>
      <c r="G546" s="256"/>
    </row>
    <row r="547" spans="2:7">
      <c r="B547" s="256"/>
      <c r="C547" s="256"/>
      <c r="D547" s="256"/>
      <c r="E547" s="256"/>
      <c r="F547" s="256"/>
      <c r="G547" s="256"/>
    </row>
    <row r="548" spans="2:7">
      <c r="B548" s="256"/>
      <c r="C548" s="256"/>
      <c r="D548" s="256"/>
      <c r="E548" s="256"/>
      <c r="F548" s="256"/>
      <c r="G548" s="256"/>
    </row>
    <row r="549" spans="2:7">
      <c r="B549" s="256"/>
      <c r="C549" s="256"/>
      <c r="D549" s="256"/>
      <c r="E549" s="256"/>
      <c r="F549" s="256"/>
      <c r="G549" s="256"/>
    </row>
    <row r="550" spans="2:7">
      <c r="B550" s="256"/>
      <c r="C550" s="256"/>
      <c r="D550" s="256"/>
      <c r="E550" s="256"/>
      <c r="F550" s="256"/>
      <c r="G550" s="256"/>
    </row>
    <row r="551" spans="2:7">
      <c r="B551" s="256"/>
      <c r="C551" s="256"/>
      <c r="D551" s="256"/>
      <c r="E551" s="256"/>
      <c r="F551" s="256"/>
      <c r="G551" s="256"/>
    </row>
    <row r="552" spans="2:7">
      <c r="B552" s="256"/>
      <c r="C552" s="256"/>
      <c r="D552" s="256"/>
      <c r="E552" s="256"/>
      <c r="F552" s="256"/>
      <c r="G552" s="256"/>
    </row>
    <row r="553" spans="2:7">
      <c r="B553" s="256"/>
      <c r="C553" s="256"/>
      <c r="D553" s="256"/>
      <c r="E553" s="256"/>
      <c r="F553" s="256"/>
      <c r="G553" s="256"/>
    </row>
    <row r="554" spans="2:7">
      <c r="B554" s="256"/>
      <c r="C554" s="256"/>
      <c r="D554" s="256"/>
      <c r="E554" s="256"/>
      <c r="F554" s="256"/>
      <c r="G554" s="256"/>
    </row>
    <row r="555" spans="2:7">
      <c r="B555" s="256"/>
      <c r="C555" s="256"/>
      <c r="D555" s="256"/>
      <c r="E555" s="256"/>
      <c r="F555" s="256"/>
      <c r="G555" s="256"/>
    </row>
    <row r="556" spans="2:7">
      <c r="B556" s="256"/>
      <c r="C556" s="256"/>
      <c r="D556" s="256"/>
      <c r="E556" s="256"/>
      <c r="F556" s="256"/>
      <c r="G556" s="256"/>
    </row>
    <row r="557" spans="2:7">
      <c r="B557" s="256"/>
      <c r="C557" s="256"/>
      <c r="D557" s="256"/>
      <c r="E557" s="256"/>
      <c r="F557" s="256"/>
      <c r="G557" s="256"/>
    </row>
    <row r="558" spans="2:7">
      <c r="B558" s="256"/>
      <c r="C558" s="256"/>
      <c r="D558" s="256"/>
      <c r="E558" s="256"/>
      <c r="F558" s="256"/>
      <c r="G558" s="256"/>
    </row>
    <row r="559" spans="2:7">
      <c r="B559" s="256"/>
      <c r="C559" s="256"/>
      <c r="D559" s="256"/>
      <c r="E559" s="256"/>
      <c r="F559" s="256"/>
      <c r="G559" s="256"/>
    </row>
    <row r="560" spans="2:7">
      <c r="B560" s="256"/>
      <c r="C560" s="256"/>
      <c r="D560" s="256"/>
      <c r="E560" s="256"/>
      <c r="F560" s="256"/>
      <c r="G560" s="256"/>
    </row>
    <row r="561" spans="2:7">
      <c r="B561" s="256"/>
      <c r="C561" s="256"/>
      <c r="D561" s="256"/>
      <c r="E561" s="256"/>
      <c r="F561" s="256"/>
      <c r="G561" s="256"/>
    </row>
    <row r="562" spans="2:7">
      <c r="B562" s="256"/>
      <c r="C562" s="256"/>
      <c r="D562" s="256"/>
      <c r="E562" s="256"/>
      <c r="F562" s="256"/>
      <c r="G562" s="256"/>
    </row>
    <row r="563" spans="2:7">
      <c r="B563" s="256"/>
      <c r="C563" s="256"/>
      <c r="D563" s="256"/>
      <c r="E563" s="256"/>
      <c r="F563" s="256"/>
      <c r="G563" s="256"/>
    </row>
    <row r="564" spans="2:7">
      <c r="B564" s="256"/>
      <c r="C564" s="256"/>
      <c r="D564" s="256"/>
      <c r="E564" s="256"/>
      <c r="F564" s="256"/>
      <c r="G564" s="256"/>
    </row>
    <row r="565" spans="2:7">
      <c r="B565" s="256"/>
      <c r="C565" s="256"/>
      <c r="D565" s="256"/>
      <c r="E565" s="256"/>
      <c r="F565" s="256"/>
      <c r="G565" s="256"/>
    </row>
    <row r="566" spans="2:7">
      <c r="B566" s="256"/>
      <c r="C566" s="256"/>
      <c r="D566" s="256"/>
      <c r="E566" s="256"/>
      <c r="F566" s="256"/>
      <c r="G566" s="256"/>
    </row>
    <row r="567" spans="2:7">
      <c r="B567" s="256"/>
      <c r="C567" s="256"/>
      <c r="D567" s="256"/>
      <c r="E567" s="256"/>
      <c r="F567" s="256"/>
      <c r="G567" s="256"/>
    </row>
    <row r="568" spans="2:7">
      <c r="B568" s="256"/>
      <c r="C568" s="256"/>
      <c r="D568" s="256"/>
      <c r="E568" s="256"/>
      <c r="F568" s="256"/>
      <c r="G568" s="256"/>
    </row>
    <row r="569" spans="2:7">
      <c r="B569" s="256"/>
      <c r="C569" s="256"/>
      <c r="D569" s="256"/>
      <c r="E569" s="256"/>
      <c r="F569" s="256"/>
      <c r="G569" s="256"/>
    </row>
    <row r="570" spans="2:7">
      <c r="B570" s="256"/>
      <c r="C570" s="256"/>
      <c r="D570" s="256"/>
      <c r="E570" s="256"/>
      <c r="F570" s="256"/>
      <c r="G570" s="256"/>
    </row>
    <row r="571" spans="2:7">
      <c r="B571" s="256"/>
      <c r="C571" s="256"/>
      <c r="D571" s="256"/>
      <c r="E571" s="256"/>
      <c r="F571" s="256"/>
      <c r="G571" s="256"/>
    </row>
    <row r="572" spans="2:7">
      <c r="B572" s="256"/>
      <c r="C572" s="256"/>
      <c r="D572" s="256"/>
      <c r="E572" s="256"/>
      <c r="F572" s="256"/>
      <c r="G572" s="256"/>
    </row>
    <row r="573" spans="2:7">
      <c r="B573" s="256"/>
      <c r="C573" s="256"/>
      <c r="D573" s="256"/>
      <c r="E573" s="256"/>
      <c r="F573" s="256"/>
      <c r="G573" s="256"/>
    </row>
    <row r="574" spans="2:7">
      <c r="B574" s="256"/>
      <c r="C574" s="256"/>
      <c r="D574" s="256"/>
      <c r="E574" s="256"/>
      <c r="F574" s="256"/>
      <c r="G574" s="256"/>
    </row>
    <row r="575" spans="2:7">
      <c r="B575" s="256"/>
      <c r="C575" s="256"/>
      <c r="D575" s="256"/>
      <c r="E575" s="256"/>
      <c r="F575" s="256"/>
      <c r="G575" s="256"/>
    </row>
    <row r="576" spans="2:7">
      <c r="B576" s="256"/>
      <c r="C576" s="256"/>
      <c r="D576" s="256"/>
      <c r="E576" s="256"/>
      <c r="F576" s="256"/>
      <c r="G576" s="256"/>
    </row>
  </sheetData>
  <sheetProtection formatCells="0" formatColumns="0" formatRows="0" insertColumns="0" insertRows="0" insertHyperlinks="0" deleteColumns="0" deleteRows="0" sort="0" autoFilter="0" pivotTables="0"/>
  <mergeCells count="7">
    <mergeCell ref="M1:M2"/>
    <mergeCell ref="L1:L2"/>
    <mergeCell ref="B3:J3"/>
    <mergeCell ref="B12:J12"/>
    <mergeCell ref="A1:A2"/>
    <mergeCell ref="B1:G1"/>
    <mergeCell ref="H1:I1"/>
  </mergeCells>
  <hyperlinks>
    <hyperlink ref="L1" location="ГЛАВНАЯ!A1" display="На главную" xr:uid="{96F7416B-375D-479E-AEE7-8B58BE1C19F5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6"/>
  <dimension ref="A1:M194"/>
  <sheetViews>
    <sheetView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M20" sqref="M19:M20"/>
    </sheetView>
  </sheetViews>
  <sheetFormatPr defaultColWidth="9.125" defaultRowHeight="14.3"/>
  <cols>
    <col min="1" max="1" width="24.375" style="259" customWidth="1"/>
    <col min="2" max="2" width="11.625" style="356" customWidth="1"/>
    <col min="3" max="3" width="12.875" style="356" customWidth="1"/>
    <col min="4" max="4" width="10.75" style="255" customWidth="1"/>
    <col min="5" max="5" width="9.625" style="255" customWidth="1"/>
    <col min="6" max="6" width="8.625" style="257" customWidth="1"/>
    <col min="7" max="7" width="10" style="257" customWidth="1"/>
    <col min="8" max="8" width="19.625" style="200" customWidth="1"/>
    <col min="9" max="9" width="36.75" style="200" bestFit="1" customWidth="1"/>
    <col min="10" max="13" width="15" style="200" bestFit="1" customWidth="1"/>
    <col min="14" max="16384" width="9.125" style="200"/>
  </cols>
  <sheetData>
    <row r="1" spans="1:13" ht="39.75" customHeight="1" thickBot="1">
      <c r="A1" s="608" t="s">
        <v>2</v>
      </c>
      <c r="B1" s="857" t="s">
        <v>2271</v>
      </c>
      <c r="C1" s="858"/>
      <c r="D1" s="859" t="s">
        <v>2272</v>
      </c>
      <c r="E1" s="860"/>
      <c r="F1" s="861" t="s">
        <v>2273</v>
      </c>
      <c r="G1" s="862"/>
      <c r="H1" s="329" t="s">
        <v>2304</v>
      </c>
      <c r="I1" s="607" t="s">
        <v>3413</v>
      </c>
    </row>
    <row r="2" spans="1:13" ht="40.6" customHeight="1" thickBot="1">
      <c r="A2" s="609" t="s">
        <v>3482</v>
      </c>
      <c r="B2" s="601">
        <v>1.2</v>
      </c>
      <c r="C2" s="602">
        <v>1.5</v>
      </c>
      <c r="D2" s="603">
        <v>1.2</v>
      </c>
      <c r="E2" s="604">
        <v>1.5</v>
      </c>
      <c r="F2" s="605">
        <v>1.2</v>
      </c>
      <c r="G2" s="606">
        <v>1.5</v>
      </c>
      <c r="H2" s="351"/>
      <c r="I2" s="350"/>
    </row>
    <row r="3" spans="1:13" ht="16.3">
      <c r="A3" s="434" t="s">
        <v>3483</v>
      </c>
      <c r="B3" s="437">
        <v>259.93240871</v>
      </c>
      <c r="C3" s="438">
        <v>304.7788250000001</v>
      </c>
      <c r="D3" s="570">
        <v>404.89471356750011</v>
      </c>
      <c r="E3" s="571">
        <v>474.75163125000006</v>
      </c>
      <c r="F3" s="583">
        <v>1199.6880401999999</v>
      </c>
      <c r="G3" s="584">
        <v>1406.6715000000004</v>
      </c>
      <c r="H3" s="201"/>
      <c r="I3" s="201"/>
      <c r="J3" s="201"/>
      <c r="K3" s="201"/>
      <c r="L3" s="201"/>
      <c r="M3" s="201"/>
    </row>
    <row r="4" spans="1:13" ht="16.3">
      <c r="A4" s="434" t="s">
        <v>3484</v>
      </c>
      <c r="B4" s="439">
        <v>308.62687050000005</v>
      </c>
      <c r="C4" s="440">
        <v>355.85907499999996</v>
      </c>
      <c r="D4" s="572">
        <v>480.74570212500021</v>
      </c>
      <c r="E4" s="573">
        <v>554.31894375000002</v>
      </c>
      <c r="F4" s="585">
        <v>1424.4317100000001</v>
      </c>
      <c r="G4" s="586">
        <v>1642.4265</v>
      </c>
      <c r="H4" s="201"/>
      <c r="I4" s="201"/>
      <c r="J4" s="201"/>
      <c r="K4" s="201"/>
      <c r="L4" s="201"/>
      <c r="M4" s="201"/>
    </row>
    <row r="5" spans="1:13" ht="16.3">
      <c r="A5" s="434" t="s">
        <v>3485</v>
      </c>
      <c r="B5" s="439">
        <v>366.38160650000009</v>
      </c>
      <c r="C5" s="440">
        <v>423.9660750000001</v>
      </c>
      <c r="D5" s="572">
        <v>570.7098101250001</v>
      </c>
      <c r="E5" s="573">
        <v>660.40869375</v>
      </c>
      <c r="F5" s="585">
        <v>1690.9920300000003</v>
      </c>
      <c r="G5" s="586">
        <v>1956.7665000000006</v>
      </c>
      <c r="H5" s="201"/>
      <c r="I5" s="201"/>
      <c r="J5" s="201"/>
      <c r="K5" s="201"/>
      <c r="L5" s="201"/>
      <c r="M5" s="201"/>
    </row>
    <row r="6" spans="1:13" ht="16.3">
      <c r="A6" s="434" t="s">
        <v>3486</v>
      </c>
      <c r="B6" s="439">
        <v>424.13634250000007</v>
      </c>
      <c r="C6" s="440">
        <v>492.07307500000007</v>
      </c>
      <c r="D6" s="572">
        <v>660.673918125</v>
      </c>
      <c r="E6" s="573">
        <v>766.49844374999998</v>
      </c>
      <c r="F6" s="585">
        <v>1957.5523500000004</v>
      </c>
      <c r="G6" s="586">
        <v>2271.1065000000003</v>
      </c>
      <c r="H6" s="201"/>
      <c r="I6" s="201"/>
      <c r="J6" s="201"/>
      <c r="K6" s="201"/>
      <c r="L6" s="201"/>
      <c r="M6" s="201"/>
    </row>
    <row r="7" spans="1:13" ht="16.3">
      <c r="A7" s="434" t="s">
        <v>3487</v>
      </c>
      <c r="B7" s="439">
        <v>281.55433800000003</v>
      </c>
      <c r="C7" s="440">
        <v>321.80557500000009</v>
      </c>
      <c r="D7" s="572">
        <v>438.57502650000009</v>
      </c>
      <c r="E7" s="573">
        <v>501.2740687500002</v>
      </c>
      <c r="F7" s="585">
        <v>1299.4815600000002</v>
      </c>
      <c r="G7" s="586">
        <v>1485.2565000000002</v>
      </c>
      <c r="H7" s="201"/>
      <c r="I7" s="201"/>
      <c r="J7" s="201"/>
      <c r="K7" s="201"/>
      <c r="L7" s="201"/>
      <c r="M7" s="201"/>
    </row>
    <row r="8" spans="1:13" ht="16.3">
      <c r="A8" s="434" t="s">
        <v>3488</v>
      </c>
      <c r="B8" s="439">
        <v>324.8703900000001</v>
      </c>
      <c r="C8" s="440">
        <v>372.88582500000007</v>
      </c>
      <c r="D8" s="572">
        <v>506.04810750000007</v>
      </c>
      <c r="E8" s="573">
        <v>580.84138125000004</v>
      </c>
      <c r="F8" s="585">
        <v>1499.4018000000003</v>
      </c>
      <c r="G8" s="586">
        <v>1721.0115000000001</v>
      </c>
      <c r="H8" s="201"/>
      <c r="I8" s="201"/>
      <c r="J8" s="201"/>
      <c r="K8" s="201"/>
      <c r="L8" s="201"/>
      <c r="M8" s="201"/>
    </row>
    <row r="9" spans="1:13" ht="16.3">
      <c r="A9" s="434" t="s">
        <v>3489</v>
      </c>
      <c r="B9" s="439">
        <v>382.62512600000008</v>
      </c>
      <c r="C9" s="440">
        <v>440.99282500000004</v>
      </c>
      <c r="D9" s="572">
        <v>596.01221550000002</v>
      </c>
      <c r="E9" s="573">
        <v>686.93113125000013</v>
      </c>
      <c r="F9" s="585">
        <v>1765.9621200000004</v>
      </c>
      <c r="G9" s="586">
        <v>2035.3514999999998</v>
      </c>
      <c r="H9" s="201"/>
      <c r="I9" s="201"/>
      <c r="J9" s="201"/>
      <c r="K9" s="201"/>
      <c r="L9" s="201"/>
      <c r="M9" s="201"/>
    </row>
    <row r="10" spans="1:13" ht="16.3">
      <c r="A10" s="434" t="s">
        <v>3490</v>
      </c>
      <c r="B10" s="439">
        <v>440.37986199999989</v>
      </c>
      <c r="C10" s="440">
        <v>509.09982500000001</v>
      </c>
      <c r="D10" s="572">
        <v>685.97632350000015</v>
      </c>
      <c r="E10" s="573">
        <v>793.02088125000012</v>
      </c>
      <c r="F10" s="585">
        <v>2032.5224399999997</v>
      </c>
      <c r="G10" s="586">
        <v>2349.6914999999999</v>
      </c>
      <c r="H10" s="201"/>
      <c r="I10" s="201"/>
      <c r="J10" s="201"/>
      <c r="K10" s="201"/>
      <c r="L10" s="201"/>
      <c r="M10" s="201"/>
    </row>
    <row r="11" spans="1:13" ht="16.3">
      <c r="A11" s="434" t="s">
        <v>3491</v>
      </c>
      <c r="B11" s="439">
        <v>584.76670200000001</v>
      </c>
      <c r="C11" s="440">
        <v>679.36732500000016</v>
      </c>
      <c r="D11" s="572">
        <v>910.88659350000034</v>
      </c>
      <c r="E11" s="573">
        <v>1058.2452562500002</v>
      </c>
      <c r="F11" s="585">
        <v>2698.9232400000001</v>
      </c>
      <c r="G11" s="586">
        <v>3135.5415000000003</v>
      </c>
      <c r="H11" s="201"/>
      <c r="I11" s="201"/>
      <c r="J11" s="201"/>
      <c r="K11" s="201"/>
      <c r="L11" s="201"/>
      <c r="M11" s="201"/>
    </row>
    <row r="12" spans="1:13" ht="16.3">
      <c r="A12" s="434" t="s">
        <v>3492</v>
      </c>
      <c r="B12" s="439">
        <v>295.993022</v>
      </c>
      <c r="C12" s="440">
        <v>340.53500000000008</v>
      </c>
      <c r="D12" s="572">
        <v>461.06605350000007</v>
      </c>
      <c r="E12" s="573">
        <v>530.44875000000002</v>
      </c>
      <c r="F12" s="585">
        <v>1366.1216400000001</v>
      </c>
      <c r="G12" s="586">
        <v>1571.7000000000003</v>
      </c>
      <c r="H12" s="201"/>
      <c r="I12" s="201"/>
      <c r="J12" s="201"/>
      <c r="K12" s="201"/>
      <c r="L12" s="201"/>
      <c r="M12" s="201"/>
    </row>
    <row r="13" spans="1:13" ht="16.3">
      <c r="A13" s="434" t="s">
        <v>3493</v>
      </c>
      <c r="B13" s="439">
        <v>339.30907400000012</v>
      </c>
      <c r="C13" s="440">
        <v>389.91257500000006</v>
      </c>
      <c r="D13" s="572">
        <v>528.53913450000027</v>
      </c>
      <c r="E13" s="573">
        <v>607.36381875000006</v>
      </c>
      <c r="F13" s="585">
        <v>1566.0418800000002</v>
      </c>
      <c r="G13" s="586">
        <v>1799.5965000000001</v>
      </c>
      <c r="H13" s="201"/>
      <c r="I13" s="201"/>
      <c r="J13" s="201"/>
      <c r="K13" s="201"/>
      <c r="L13" s="201"/>
      <c r="M13" s="201"/>
    </row>
    <row r="14" spans="1:13" ht="16.3">
      <c r="A14" s="434" t="s">
        <v>3494</v>
      </c>
      <c r="B14" s="439">
        <v>397.0638100000001</v>
      </c>
      <c r="C14" s="440">
        <v>458.01957500000003</v>
      </c>
      <c r="D14" s="572">
        <v>618.50324250000017</v>
      </c>
      <c r="E14" s="573">
        <v>713.45356875000004</v>
      </c>
      <c r="F14" s="585">
        <v>1832.6022</v>
      </c>
      <c r="G14" s="586">
        <v>2113.9365000000003</v>
      </c>
      <c r="H14" s="201"/>
      <c r="I14" s="201"/>
      <c r="J14" s="201"/>
      <c r="K14" s="201"/>
      <c r="L14" s="201"/>
      <c r="M14" s="201"/>
    </row>
    <row r="15" spans="1:13" ht="16.3">
      <c r="A15" s="434" t="s">
        <v>3495</v>
      </c>
      <c r="B15" s="439">
        <v>454.81854600000008</v>
      </c>
      <c r="C15" s="440">
        <v>526.12657500000012</v>
      </c>
      <c r="D15" s="572">
        <v>708.46735050000007</v>
      </c>
      <c r="E15" s="573">
        <v>819.54331875000025</v>
      </c>
      <c r="F15" s="585">
        <v>2099.1625200000003</v>
      </c>
      <c r="G15" s="586">
        <v>2428.2765000000004</v>
      </c>
      <c r="H15" s="201"/>
      <c r="I15" s="201"/>
      <c r="J15" s="201"/>
      <c r="K15" s="201"/>
      <c r="L15" s="201"/>
      <c r="M15" s="201"/>
    </row>
    <row r="16" spans="1:13" ht="16.3">
      <c r="A16" s="434" t="s">
        <v>3496</v>
      </c>
      <c r="B16" s="439">
        <v>599.20538600000009</v>
      </c>
      <c r="C16" s="440">
        <v>696.39407500000016</v>
      </c>
      <c r="D16" s="572">
        <v>933.37762050000015</v>
      </c>
      <c r="E16" s="573">
        <v>1084.7676937500003</v>
      </c>
      <c r="F16" s="585">
        <v>2765.5633200000007</v>
      </c>
      <c r="G16" s="586">
        <v>3214.1265000000003</v>
      </c>
      <c r="H16" s="201"/>
      <c r="I16" s="201"/>
      <c r="J16" s="201"/>
      <c r="K16" s="201"/>
      <c r="L16" s="201"/>
      <c r="M16" s="201"/>
    </row>
    <row r="17" spans="1:13" ht="16.3">
      <c r="A17" s="434" t="s">
        <v>3497</v>
      </c>
      <c r="B17" s="439">
        <v>310.43170600000008</v>
      </c>
      <c r="C17" s="440">
        <v>357.56175000000007</v>
      </c>
      <c r="D17" s="572">
        <v>483.55708050000021</v>
      </c>
      <c r="E17" s="573">
        <v>556.97118750000004</v>
      </c>
      <c r="F17" s="585">
        <v>1432.7617200000004</v>
      </c>
      <c r="G17" s="586">
        <v>1650.2850000000001</v>
      </c>
      <c r="H17" s="201"/>
      <c r="I17" s="201"/>
      <c r="J17" s="201"/>
      <c r="K17" s="201"/>
      <c r="L17" s="201"/>
      <c r="M17" s="201"/>
    </row>
    <row r="18" spans="1:13" ht="16.3">
      <c r="A18" s="434" t="s">
        <v>3498</v>
      </c>
      <c r="B18" s="439">
        <v>353.74775800000003</v>
      </c>
      <c r="C18" s="440">
        <v>408.64200000000005</v>
      </c>
      <c r="D18" s="572">
        <v>551.03016150000019</v>
      </c>
      <c r="E18" s="573">
        <v>636.53850000000011</v>
      </c>
      <c r="F18" s="585">
        <v>1632.6819600000001</v>
      </c>
      <c r="G18" s="586">
        <v>1886.0400000000002</v>
      </c>
      <c r="H18" s="201"/>
      <c r="I18" s="201"/>
      <c r="J18" s="201"/>
      <c r="K18" s="201"/>
      <c r="L18" s="201"/>
      <c r="M18" s="201"/>
    </row>
    <row r="19" spans="1:13" ht="16.3">
      <c r="A19" s="434" t="s">
        <v>3499</v>
      </c>
      <c r="B19" s="439">
        <v>411.50249400000007</v>
      </c>
      <c r="C19" s="440">
        <v>476.74900000000002</v>
      </c>
      <c r="D19" s="572">
        <v>640.99426950000009</v>
      </c>
      <c r="E19" s="573">
        <v>742.62825000000009</v>
      </c>
      <c r="F19" s="585">
        <v>1899.2422800000004</v>
      </c>
      <c r="G19" s="586">
        <v>2200.38</v>
      </c>
      <c r="H19" s="201"/>
      <c r="I19" s="201"/>
      <c r="J19" s="201"/>
      <c r="K19" s="201"/>
      <c r="L19" s="201"/>
      <c r="M19" s="201"/>
    </row>
    <row r="20" spans="1:13" ht="16.3">
      <c r="A20" s="434" t="s">
        <v>3500</v>
      </c>
      <c r="B20" s="439">
        <v>469.25723000000011</v>
      </c>
      <c r="C20" s="440">
        <v>544.85599999999999</v>
      </c>
      <c r="D20" s="572">
        <v>730.9583775000001</v>
      </c>
      <c r="E20" s="573">
        <v>848.71800000000007</v>
      </c>
      <c r="F20" s="585">
        <v>2165.8026000000009</v>
      </c>
      <c r="G20" s="586">
        <v>2514.7199999999998</v>
      </c>
      <c r="H20" s="201"/>
      <c r="I20" s="201"/>
      <c r="J20" s="201"/>
      <c r="K20" s="201"/>
      <c r="L20" s="201"/>
      <c r="M20" s="201"/>
    </row>
    <row r="21" spans="1:13" ht="16.3">
      <c r="A21" s="434" t="s">
        <v>3501</v>
      </c>
      <c r="B21" s="439">
        <v>613.64407000000006</v>
      </c>
      <c r="C21" s="440">
        <v>713.42082500000015</v>
      </c>
      <c r="D21" s="572">
        <v>955.86864750000007</v>
      </c>
      <c r="E21" s="573">
        <v>1111.2901312500003</v>
      </c>
      <c r="F21" s="585">
        <v>2832.2034000000003</v>
      </c>
      <c r="G21" s="586">
        <v>3292.7115000000003</v>
      </c>
      <c r="H21" s="201"/>
      <c r="I21" s="201"/>
      <c r="J21" s="201"/>
      <c r="K21" s="201"/>
      <c r="L21" s="201"/>
      <c r="M21" s="201"/>
    </row>
    <row r="22" spans="1:13" ht="16.3">
      <c r="A22" s="434" t="s">
        <v>3502</v>
      </c>
      <c r="B22" s="439">
        <v>324.8703900000001</v>
      </c>
      <c r="C22" s="440">
        <v>374.58849999999995</v>
      </c>
      <c r="D22" s="572">
        <v>506.04810750000007</v>
      </c>
      <c r="E22" s="573">
        <v>583.49362500000007</v>
      </c>
      <c r="F22" s="585">
        <v>1499.4018000000003</v>
      </c>
      <c r="G22" s="586">
        <v>1728.87</v>
      </c>
      <c r="H22" s="201"/>
      <c r="I22" s="201"/>
      <c r="J22" s="201"/>
      <c r="K22" s="201"/>
      <c r="L22" s="201"/>
      <c r="M22" s="201"/>
    </row>
    <row r="23" spans="1:13" ht="16.3">
      <c r="A23" s="434" t="s">
        <v>3503</v>
      </c>
      <c r="B23" s="439">
        <v>369.99127750000008</v>
      </c>
      <c r="C23" s="440">
        <v>425.66875000000005</v>
      </c>
      <c r="D23" s="572">
        <v>576.33256687500011</v>
      </c>
      <c r="E23" s="573">
        <v>663.06093750000002</v>
      </c>
      <c r="F23" s="585">
        <v>1707.6520500000001</v>
      </c>
      <c r="G23" s="586">
        <v>1964.6249999999998</v>
      </c>
      <c r="H23" s="201"/>
      <c r="I23" s="201"/>
      <c r="J23" s="201"/>
      <c r="K23" s="201"/>
      <c r="L23" s="201"/>
      <c r="M23" s="201"/>
    </row>
    <row r="24" spans="1:13" ht="16.3">
      <c r="A24" s="434" t="s">
        <v>3504</v>
      </c>
      <c r="B24" s="439">
        <v>427.74601350000006</v>
      </c>
      <c r="C24" s="440">
        <v>493.77575000000007</v>
      </c>
      <c r="D24" s="572">
        <v>666.29667487500012</v>
      </c>
      <c r="E24" s="573">
        <v>769.15068750000023</v>
      </c>
      <c r="F24" s="585">
        <v>1974.2123700000002</v>
      </c>
      <c r="G24" s="586">
        <v>2278.9650000000001</v>
      </c>
      <c r="H24" s="201"/>
      <c r="I24" s="201"/>
      <c r="J24" s="201"/>
      <c r="K24" s="201"/>
      <c r="L24" s="201"/>
      <c r="M24" s="201"/>
    </row>
    <row r="25" spans="1:13" ht="16.3">
      <c r="A25" s="434" t="s">
        <v>3505</v>
      </c>
      <c r="B25" s="439">
        <v>485.50074950000004</v>
      </c>
      <c r="C25" s="440">
        <v>561.88274999999999</v>
      </c>
      <c r="D25" s="572">
        <v>756.26078287500013</v>
      </c>
      <c r="E25" s="573">
        <v>875.24043750000021</v>
      </c>
      <c r="F25" s="585">
        <v>2240.7726899999998</v>
      </c>
      <c r="G25" s="586">
        <v>2593.3050000000003</v>
      </c>
      <c r="H25" s="201"/>
      <c r="I25" s="201"/>
      <c r="J25" s="201"/>
      <c r="K25" s="201"/>
      <c r="L25" s="201"/>
      <c r="M25" s="201"/>
    </row>
    <row r="26" spans="1:13" ht="16.3">
      <c r="A26" s="434" t="s">
        <v>3506</v>
      </c>
      <c r="B26" s="439">
        <v>629.8875895000001</v>
      </c>
      <c r="C26" s="440">
        <v>732.15025000000014</v>
      </c>
      <c r="D26" s="572">
        <v>981.1710528750001</v>
      </c>
      <c r="E26" s="573">
        <v>1140.4648125000001</v>
      </c>
      <c r="F26" s="585">
        <v>2907.1734900000001</v>
      </c>
      <c r="G26" s="586">
        <v>3379.1550000000002</v>
      </c>
      <c r="H26" s="201"/>
      <c r="I26" s="201"/>
      <c r="J26" s="201"/>
      <c r="K26" s="201"/>
      <c r="L26" s="201"/>
      <c r="M26" s="201"/>
    </row>
    <row r="27" spans="1:13" ht="16.3">
      <c r="A27" s="434" t="s">
        <v>3507</v>
      </c>
      <c r="B27" s="439">
        <v>355.55259350000017</v>
      </c>
      <c r="C27" s="440">
        <v>410.34467500000011</v>
      </c>
      <c r="D27" s="572">
        <v>553.84153987500031</v>
      </c>
      <c r="E27" s="573">
        <v>639.19074375000014</v>
      </c>
      <c r="F27" s="585">
        <v>1641.0119700000007</v>
      </c>
      <c r="G27" s="586">
        <v>1893.8985000000005</v>
      </c>
      <c r="H27" s="201"/>
      <c r="I27" s="201"/>
      <c r="J27" s="201"/>
      <c r="K27" s="201"/>
      <c r="L27" s="201"/>
      <c r="M27" s="201"/>
    </row>
    <row r="28" spans="1:13" ht="16.3">
      <c r="A28" s="434" t="s">
        <v>3508</v>
      </c>
      <c r="B28" s="439">
        <v>398.86864550000007</v>
      </c>
      <c r="C28" s="440">
        <v>461.42492500000009</v>
      </c>
      <c r="D28" s="572">
        <v>621.31462087500017</v>
      </c>
      <c r="E28" s="573">
        <v>718.7580562500001</v>
      </c>
      <c r="F28" s="585">
        <v>1840.9322100000004</v>
      </c>
      <c r="G28" s="586">
        <v>2129.6535000000003</v>
      </c>
      <c r="H28" s="201"/>
      <c r="I28" s="201"/>
      <c r="J28" s="201"/>
      <c r="K28" s="201"/>
      <c r="L28" s="201"/>
      <c r="M28" s="201"/>
    </row>
    <row r="29" spans="1:13" ht="16.3">
      <c r="A29" s="434" t="s">
        <v>3509</v>
      </c>
      <c r="B29" s="439">
        <v>456.62338150000005</v>
      </c>
      <c r="C29" s="440">
        <v>529.53192500000011</v>
      </c>
      <c r="D29" s="572">
        <v>711.27872887500007</v>
      </c>
      <c r="E29" s="573">
        <v>824.8478062500003</v>
      </c>
      <c r="F29" s="585">
        <v>2107.49253</v>
      </c>
      <c r="G29" s="586">
        <v>2443.9935000000005</v>
      </c>
      <c r="H29" s="201"/>
      <c r="I29" s="201"/>
      <c r="J29" s="201"/>
      <c r="K29" s="201"/>
      <c r="L29" s="201"/>
      <c r="M29" s="201"/>
    </row>
    <row r="30" spans="1:13" ht="16.3">
      <c r="A30" s="434" t="s">
        <v>3510</v>
      </c>
      <c r="B30" s="439">
        <v>514.37811750000014</v>
      </c>
      <c r="C30" s="440">
        <v>597.63892500000009</v>
      </c>
      <c r="D30" s="572">
        <v>801.24283687500008</v>
      </c>
      <c r="E30" s="573">
        <v>930.93755625000028</v>
      </c>
      <c r="F30" s="585">
        <v>2374.05285</v>
      </c>
      <c r="G30" s="586">
        <v>2758.3334999999997</v>
      </c>
      <c r="H30" s="201"/>
      <c r="I30" s="201"/>
      <c r="J30" s="201"/>
      <c r="K30" s="201"/>
      <c r="L30" s="201"/>
      <c r="M30" s="201"/>
    </row>
    <row r="31" spans="1:13" ht="16.3">
      <c r="A31" s="434" t="s">
        <v>3511</v>
      </c>
      <c r="B31" s="439">
        <v>658.76495750000015</v>
      </c>
      <c r="C31" s="440">
        <v>766.2037499999999</v>
      </c>
      <c r="D31" s="572">
        <v>1026.1531068750003</v>
      </c>
      <c r="E31" s="573">
        <v>1193.5096874999999</v>
      </c>
      <c r="F31" s="585">
        <v>3040.4536500000004</v>
      </c>
      <c r="G31" s="586">
        <v>3536.3249999999998</v>
      </c>
      <c r="H31" s="201"/>
      <c r="I31" s="201"/>
      <c r="J31" s="201"/>
      <c r="K31" s="201"/>
      <c r="L31" s="201"/>
      <c r="M31" s="201"/>
    </row>
    <row r="32" spans="1:13" ht="16.3">
      <c r="A32" s="434" t="s">
        <v>3512</v>
      </c>
      <c r="B32" s="439">
        <v>675.00847700000008</v>
      </c>
      <c r="C32" s="440">
        <v>784.93317500000012</v>
      </c>
      <c r="D32" s="572">
        <v>1051.4555122500001</v>
      </c>
      <c r="E32" s="573">
        <v>1222.6843687500002</v>
      </c>
      <c r="F32" s="585">
        <v>3115.4237400000006</v>
      </c>
      <c r="G32" s="586">
        <v>3622.7685000000001</v>
      </c>
      <c r="H32" s="201"/>
      <c r="I32" s="201"/>
      <c r="J32" s="201"/>
      <c r="K32" s="201"/>
      <c r="L32" s="201"/>
      <c r="M32" s="201"/>
    </row>
    <row r="33" spans="1:13" ht="16.3">
      <c r="A33" s="434" t="s">
        <v>3513</v>
      </c>
      <c r="B33" s="439">
        <v>386.23479700000007</v>
      </c>
      <c r="C33" s="440">
        <v>446.10085000000015</v>
      </c>
      <c r="D33" s="572">
        <v>601.63497225000003</v>
      </c>
      <c r="E33" s="573">
        <v>694.88786249999998</v>
      </c>
      <c r="F33" s="585">
        <v>1782.6221399999999</v>
      </c>
      <c r="G33" s="586">
        <v>2058.9270000000006</v>
      </c>
      <c r="H33" s="201"/>
      <c r="I33" s="201"/>
      <c r="J33" s="201"/>
      <c r="K33" s="201"/>
      <c r="L33" s="201"/>
      <c r="M33" s="201"/>
    </row>
    <row r="34" spans="1:13" ht="16.3">
      <c r="A34" s="434" t="s">
        <v>3514</v>
      </c>
      <c r="B34" s="439">
        <v>429.55084899999997</v>
      </c>
      <c r="C34" s="440">
        <v>497.18110000000013</v>
      </c>
      <c r="D34" s="572">
        <v>669.10805325000013</v>
      </c>
      <c r="E34" s="573">
        <v>774.45517500000028</v>
      </c>
      <c r="F34" s="585">
        <v>1982.5423799999999</v>
      </c>
      <c r="G34" s="586">
        <v>2294.6820000000007</v>
      </c>
      <c r="H34" s="201"/>
      <c r="I34" s="201"/>
      <c r="J34" s="201"/>
      <c r="K34" s="201"/>
      <c r="L34" s="201"/>
      <c r="M34" s="201"/>
    </row>
    <row r="35" spans="1:13" ht="16.3">
      <c r="A35" s="434" t="s">
        <v>3515</v>
      </c>
      <c r="B35" s="439">
        <v>487.30558500000006</v>
      </c>
      <c r="C35" s="440">
        <v>563.58542499999999</v>
      </c>
      <c r="D35" s="572">
        <v>759.07216125000002</v>
      </c>
      <c r="E35" s="573">
        <v>877.89268125000024</v>
      </c>
      <c r="F35" s="585">
        <v>2249.1027000000004</v>
      </c>
      <c r="G35" s="586">
        <v>2601.1635000000001</v>
      </c>
      <c r="H35" s="201"/>
      <c r="I35" s="201"/>
      <c r="J35" s="201"/>
      <c r="K35" s="201"/>
      <c r="L35" s="201"/>
      <c r="M35" s="201"/>
    </row>
    <row r="36" spans="1:13" ht="16.3">
      <c r="A36" s="434" t="s">
        <v>3516</v>
      </c>
      <c r="B36" s="439">
        <v>545.06032100000016</v>
      </c>
      <c r="C36" s="440">
        <v>631.69242500000007</v>
      </c>
      <c r="D36" s="572">
        <v>849.03626925000015</v>
      </c>
      <c r="E36" s="573">
        <v>983.98243125000022</v>
      </c>
      <c r="F36" s="585">
        <v>2515.6630200000009</v>
      </c>
      <c r="G36" s="586">
        <v>2915.5035000000003</v>
      </c>
      <c r="H36" s="201"/>
      <c r="I36" s="201"/>
      <c r="J36" s="201"/>
      <c r="K36" s="201"/>
      <c r="L36" s="201"/>
      <c r="M36" s="201"/>
    </row>
    <row r="37" spans="1:13" ht="16.3">
      <c r="A37" s="434" t="s">
        <v>3517</v>
      </c>
      <c r="B37" s="439">
        <v>689.44716100000005</v>
      </c>
      <c r="C37" s="440">
        <v>801.95992500000011</v>
      </c>
      <c r="D37" s="572">
        <v>1073.9465392500003</v>
      </c>
      <c r="E37" s="573">
        <v>1249.2068062500002</v>
      </c>
      <c r="F37" s="585">
        <v>3182.0638200000003</v>
      </c>
      <c r="G37" s="586">
        <v>3701.3535000000006</v>
      </c>
      <c r="H37" s="201"/>
      <c r="I37" s="201"/>
      <c r="J37" s="201"/>
      <c r="K37" s="201"/>
      <c r="L37" s="201"/>
      <c r="M37" s="201"/>
    </row>
    <row r="38" spans="1:13" ht="16.3">
      <c r="A38" s="434" t="s">
        <v>3518</v>
      </c>
      <c r="B38" s="439">
        <v>415.112165</v>
      </c>
      <c r="C38" s="440">
        <v>480.15435000000002</v>
      </c>
      <c r="D38" s="572">
        <v>646.61702624999998</v>
      </c>
      <c r="E38" s="573">
        <v>747.93273750000026</v>
      </c>
      <c r="F38" s="585">
        <v>1915.9023000000002</v>
      </c>
      <c r="G38" s="586">
        <v>2216.0970000000002</v>
      </c>
      <c r="H38" s="201"/>
      <c r="I38" s="201"/>
      <c r="J38" s="201"/>
      <c r="K38" s="201"/>
      <c r="L38" s="201"/>
      <c r="M38" s="201"/>
    </row>
    <row r="39" spans="1:13" ht="16.3">
      <c r="A39" s="434" t="s">
        <v>3519</v>
      </c>
      <c r="B39" s="439">
        <v>458.42821700000007</v>
      </c>
      <c r="C39" s="440">
        <v>531.23460000000011</v>
      </c>
      <c r="D39" s="572">
        <v>714.09010725000007</v>
      </c>
      <c r="E39" s="573">
        <v>827.5000500000001</v>
      </c>
      <c r="F39" s="585">
        <v>2115.8225400000001</v>
      </c>
      <c r="G39" s="586">
        <v>2451.8519999999999</v>
      </c>
      <c r="H39" s="201"/>
      <c r="I39" s="201"/>
      <c r="J39" s="201"/>
      <c r="K39" s="201"/>
      <c r="L39" s="201"/>
      <c r="M39" s="201"/>
    </row>
    <row r="40" spans="1:13" ht="16.3">
      <c r="A40" s="434" t="s">
        <v>3520</v>
      </c>
      <c r="B40" s="439">
        <v>516.18295300000011</v>
      </c>
      <c r="C40" s="440">
        <v>599.34160000000008</v>
      </c>
      <c r="D40" s="572">
        <v>804.0542152500002</v>
      </c>
      <c r="E40" s="573">
        <v>933.58979999999997</v>
      </c>
      <c r="F40" s="585">
        <v>2382.3828600000006</v>
      </c>
      <c r="G40" s="586">
        <v>2766.1920000000005</v>
      </c>
      <c r="H40" s="201"/>
      <c r="I40" s="201"/>
      <c r="J40" s="201"/>
      <c r="K40" s="201"/>
      <c r="L40" s="201"/>
      <c r="M40" s="201"/>
    </row>
    <row r="41" spans="1:13" ht="16.3">
      <c r="A41" s="434" t="s">
        <v>3521</v>
      </c>
      <c r="B41" s="439">
        <v>573.93768900000009</v>
      </c>
      <c r="C41" s="440">
        <v>667.44860000000006</v>
      </c>
      <c r="D41" s="572">
        <v>894.01832325000044</v>
      </c>
      <c r="E41" s="573">
        <v>1039.6795500000003</v>
      </c>
      <c r="F41" s="585">
        <v>2648.9431800000007</v>
      </c>
      <c r="G41" s="586">
        <v>3080.5320000000006</v>
      </c>
      <c r="H41" s="201"/>
      <c r="I41" s="201"/>
      <c r="J41" s="201"/>
      <c r="K41" s="201"/>
      <c r="L41" s="201"/>
      <c r="M41" s="201"/>
    </row>
    <row r="42" spans="1:13" ht="17" thickBot="1">
      <c r="A42" s="443" t="s">
        <v>3522</v>
      </c>
      <c r="B42" s="441">
        <v>720.12936450000007</v>
      </c>
      <c r="C42" s="442">
        <v>837.71610000000021</v>
      </c>
      <c r="D42" s="574">
        <v>1121.739971625</v>
      </c>
      <c r="E42" s="575">
        <v>1304.9039250000001</v>
      </c>
      <c r="F42" s="587">
        <v>3323.6739900000002</v>
      </c>
      <c r="G42" s="588">
        <v>3866.382000000001</v>
      </c>
      <c r="H42" s="201"/>
      <c r="I42" s="201"/>
      <c r="J42" s="201"/>
      <c r="K42" s="201"/>
      <c r="L42" s="201"/>
      <c r="M42" s="201"/>
    </row>
    <row r="43" spans="1:13" s="258" customFormat="1">
      <c r="A43" s="352"/>
      <c r="B43" s="256"/>
      <c r="C43" s="256"/>
      <c r="D43" s="256"/>
      <c r="E43" s="256"/>
      <c r="F43" s="256"/>
      <c r="G43" s="256"/>
    </row>
    <row r="44" spans="1:13" s="258" customFormat="1">
      <c r="A44" s="352"/>
      <c r="B44" s="256"/>
      <c r="C44" s="256"/>
      <c r="D44" s="256"/>
      <c r="E44" s="256"/>
      <c r="F44" s="256"/>
      <c r="G44" s="256"/>
    </row>
    <row r="45" spans="1:13" s="258" customFormat="1">
      <c r="A45" s="352"/>
      <c r="B45" s="256"/>
      <c r="C45" s="256"/>
      <c r="D45" s="256"/>
      <c r="E45" s="256"/>
      <c r="F45" s="256"/>
      <c r="G45" s="256"/>
    </row>
    <row r="46" spans="1:13" s="258" customFormat="1">
      <c r="A46" s="352"/>
      <c r="B46" s="256"/>
      <c r="C46" s="256"/>
      <c r="D46" s="256"/>
      <c r="E46" s="256"/>
      <c r="F46" s="256"/>
      <c r="G46" s="256"/>
    </row>
    <row r="47" spans="1:13" s="258" customFormat="1">
      <c r="A47" s="352"/>
      <c r="B47" s="256"/>
      <c r="C47" s="256"/>
      <c r="D47" s="256"/>
      <c r="E47" s="256"/>
      <c r="F47" s="256"/>
      <c r="G47" s="256"/>
    </row>
    <row r="48" spans="1:13" s="258" customFormat="1">
      <c r="A48" s="352"/>
      <c r="B48" s="256"/>
      <c r="C48" s="256"/>
      <c r="D48" s="256"/>
      <c r="E48" s="256"/>
      <c r="F48" s="256"/>
      <c r="G48" s="256"/>
    </row>
    <row r="49" spans="1:7" s="258" customFormat="1">
      <c r="A49" s="352"/>
      <c r="B49" s="256"/>
      <c r="C49" s="256"/>
      <c r="D49" s="256"/>
      <c r="E49" s="256"/>
      <c r="F49" s="256"/>
      <c r="G49" s="256"/>
    </row>
    <row r="50" spans="1:7" s="258" customFormat="1">
      <c r="A50" s="352"/>
      <c r="B50" s="256"/>
      <c r="C50" s="256"/>
      <c r="D50" s="256"/>
      <c r="E50" s="256"/>
      <c r="F50" s="256"/>
      <c r="G50" s="256"/>
    </row>
    <row r="51" spans="1:7" s="258" customFormat="1">
      <c r="A51" s="352"/>
      <c r="B51" s="256"/>
      <c r="C51" s="256"/>
      <c r="D51" s="256"/>
      <c r="E51" s="256"/>
      <c r="F51" s="256"/>
      <c r="G51" s="256"/>
    </row>
    <row r="52" spans="1:7" s="258" customFormat="1">
      <c r="A52" s="352"/>
      <c r="B52" s="256"/>
      <c r="C52" s="256"/>
      <c r="D52" s="256"/>
      <c r="E52" s="256"/>
      <c r="F52" s="256"/>
      <c r="G52" s="256"/>
    </row>
    <row r="53" spans="1:7" s="258" customFormat="1">
      <c r="A53" s="352"/>
      <c r="B53" s="256"/>
      <c r="C53" s="256"/>
      <c r="D53" s="256"/>
      <c r="E53" s="256"/>
      <c r="F53" s="256"/>
      <c r="G53" s="256"/>
    </row>
    <row r="54" spans="1:7" s="258" customFormat="1">
      <c r="A54" s="352"/>
      <c r="B54" s="256"/>
      <c r="C54" s="256"/>
      <c r="D54" s="256"/>
      <c r="E54" s="256"/>
      <c r="F54" s="256"/>
      <c r="G54" s="256"/>
    </row>
    <row r="55" spans="1:7" s="258" customFormat="1">
      <c r="A55" s="352"/>
      <c r="B55" s="256"/>
      <c r="C55" s="256"/>
      <c r="D55" s="256"/>
      <c r="E55" s="256"/>
      <c r="F55" s="256"/>
      <c r="G55" s="256"/>
    </row>
    <row r="56" spans="1:7" s="258" customFormat="1">
      <c r="A56" s="352"/>
      <c r="B56" s="256"/>
      <c r="C56" s="256"/>
      <c r="D56" s="256"/>
      <c r="E56" s="256"/>
      <c r="F56" s="256"/>
      <c r="G56" s="256"/>
    </row>
    <row r="57" spans="1:7" s="258" customFormat="1">
      <c r="A57" s="352"/>
      <c r="B57" s="256"/>
      <c r="C57" s="256"/>
      <c r="D57" s="256"/>
      <c r="E57" s="256"/>
      <c r="F57" s="256"/>
      <c r="G57" s="256"/>
    </row>
    <row r="58" spans="1:7" s="258" customFormat="1">
      <c r="A58" s="352"/>
      <c r="B58" s="256"/>
      <c r="C58" s="256"/>
      <c r="D58" s="256"/>
      <c r="E58" s="256"/>
      <c r="F58" s="256"/>
      <c r="G58" s="256"/>
    </row>
    <row r="59" spans="1:7" s="258" customFormat="1">
      <c r="A59" s="352"/>
      <c r="B59" s="256"/>
      <c r="C59" s="256"/>
      <c r="D59" s="256"/>
      <c r="E59" s="256"/>
      <c r="F59" s="256"/>
      <c r="G59" s="256"/>
    </row>
    <row r="60" spans="1:7" s="258" customFormat="1">
      <c r="A60" s="352"/>
      <c r="B60" s="256"/>
      <c r="C60" s="256"/>
      <c r="D60" s="256"/>
      <c r="E60" s="256"/>
      <c r="F60" s="256"/>
      <c r="G60" s="256"/>
    </row>
    <row r="61" spans="1:7" s="258" customFormat="1">
      <c r="A61" s="352"/>
      <c r="B61" s="256"/>
      <c r="C61" s="256"/>
      <c r="D61" s="256"/>
      <c r="E61" s="256"/>
      <c r="F61" s="256"/>
      <c r="G61" s="256"/>
    </row>
    <row r="62" spans="1:7" s="258" customFormat="1">
      <c r="A62" s="352"/>
      <c r="B62" s="256"/>
      <c r="C62" s="256"/>
      <c r="D62" s="256"/>
      <c r="E62" s="256"/>
      <c r="F62" s="256"/>
      <c r="G62" s="256"/>
    </row>
    <row r="63" spans="1:7" s="258" customFormat="1">
      <c r="A63" s="352"/>
      <c r="B63" s="256"/>
      <c r="C63" s="256"/>
      <c r="D63" s="256"/>
      <c r="E63" s="256"/>
      <c r="F63" s="256"/>
      <c r="G63" s="256"/>
    </row>
    <row r="64" spans="1:7" s="258" customFormat="1">
      <c r="A64" s="352"/>
      <c r="B64" s="256"/>
      <c r="C64" s="256"/>
      <c r="D64" s="256"/>
      <c r="E64" s="256"/>
      <c r="F64" s="256"/>
      <c r="G64" s="256"/>
    </row>
    <row r="65" spans="1:7" s="258" customFormat="1">
      <c r="A65" s="352"/>
      <c r="B65" s="256"/>
      <c r="C65" s="256"/>
      <c r="D65" s="256"/>
      <c r="E65" s="256"/>
      <c r="F65" s="256"/>
      <c r="G65" s="256"/>
    </row>
    <row r="66" spans="1:7" s="258" customFormat="1">
      <c r="A66" s="352"/>
      <c r="B66" s="256"/>
      <c r="C66" s="256"/>
      <c r="D66" s="256"/>
      <c r="E66" s="256"/>
      <c r="F66" s="256"/>
      <c r="G66" s="256"/>
    </row>
    <row r="67" spans="1:7" s="258" customFormat="1">
      <c r="A67" s="352"/>
      <c r="B67" s="256"/>
      <c r="C67" s="256"/>
      <c r="D67" s="256"/>
      <c r="E67" s="256"/>
      <c r="F67" s="256"/>
      <c r="G67" s="256"/>
    </row>
    <row r="68" spans="1:7" s="258" customFormat="1">
      <c r="A68" s="352"/>
      <c r="B68" s="256"/>
      <c r="C68" s="256"/>
      <c r="D68" s="256"/>
      <c r="E68" s="256"/>
      <c r="F68" s="256"/>
      <c r="G68" s="256"/>
    </row>
    <row r="69" spans="1:7" s="258" customFormat="1">
      <c r="A69" s="352"/>
      <c r="B69" s="256"/>
      <c r="C69" s="256"/>
      <c r="D69" s="256"/>
      <c r="E69" s="256"/>
      <c r="F69" s="256"/>
      <c r="G69" s="256"/>
    </row>
    <row r="70" spans="1:7" s="258" customFormat="1">
      <c r="A70" s="352"/>
      <c r="B70" s="256"/>
      <c r="C70" s="256"/>
      <c r="D70" s="256"/>
      <c r="E70" s="256"/>
      <c r="F70" s="256"/>
      <c r="G70" s="256"/>
    </row>
    <row r="71" spans="1:7" s="258" customFormat="1">
      <c r="A71" s="352"/>
      <c r="B71" s="256"/>
      <c r="C71" s="256"/>
      <c r="D71" s="256"/>
      <c r="E71" s="256"/>
      <c r="F71" s="256"/>
      <c r="G71" s="256"/>
    </row>
    <row r="72" spans="1:7" s="258" customFormat="1">
      <c r="A72" s="352"/>
      <c r="B72" s="256"/>
      <c r="C72" s="256"/>
      <c r="D72" s="256"/>
      <c r="E72" s="256"/>
      <c r="F72" s="256"/>
      <c r="G72" s="256"/>
    </row>
    <row r="73" spans="1:7" s="258" customFormat="1">
      <c r="A73" s="352"/>
      <c r="B73" s="256"/>
      <c r="C73" s="256"/>
      <c r="D73" s="256"/>
      <c r="E73" s="256"/>
      <c r="F73" s="256"/>
      <c r="G73" s="256"/>
    </row>
    <row r="74" spans="1:7" s="258" customFormat="1">
      <c r="A74" s="352"/>
      <c r="B74" s="256"/>
      <c r="C74" s="256"/>
      <c r="D74" s="256"/>
      <c r="E74" s="256"/>
      <c r="F74" s="256"/>
      <c r="G74" s="256"/>
    </row>
    <row r="75" spans="1:7" s="258" customFormat="1">
      <c r="A75" s="352"/>
      <c r="B75" s="256"/>
      <c r="C75" s="256"/>
      <c r="D75" s="256"/>
      <c r="E75" s="256"/>
      <c r="F75" s="256"/>
      <c r="G75" s="256"/>
    </row>
    <row r="76" spans="1:7" s="258" customFormat="1">
      <c r="A76" s="352"/>
      <c r="B76" s="256"/>
      <c r="C76" s="256"/>
      <c r="D76" s="256"/>
      <c r="E76" s="256"/>
      <c r="F76" s="256"/>
      <c r="G76" s="256"/>
    </row>
    <row r="77" spans="1:7" s="258" customFormat="1">
      <c r="A77" s="352"/>
      <c r="B77" s="256"/>
      <c r="C77" s="256"/>
      <c r="D77" s="256"/>
      <c r="E77" s="256"/>
      <c r="F77" s="256"/>
      <c r="G77" s="256"/>
    </row>
    <row r="78" spans="1:7" s="258" customFormat="1">
      <c r="A78" s="352"/>
      <c r="B78" s="256"/>
      <c r="C78" s="256"/>
      <c r="D78" s="256"/>
      <c r="E78" s="256"/>
      <c r="F78" s="256"/>
      <c r="G78" s="256"/>
    </row>
    <row r="79" spans="1:7" s="258" customFormat="1">
      <c r="A79" s="352"/>
      <c r="B79" s="256"/>
      <c r="C79" s="256"/>
      <c r="D79" s="256"/>
      <c r="E79" s="256"/>
      <c r="F79" s="256"/>
      <c r="G79" s="256"/>
    </row>
    <row r="80" spans="1:7" s="258" customFormat="1">
      <c r="A80" s="352"/>
      <c r="B80" s="256"/>
      <c r="C80" s="256"/>
      <c r="D80" s="256"/>
      <c r="E80" s="256"/>
      <c r="F80" s="256"/>
      <c r="G80" s="256"/>
    </row>
    <row r="81" spans="1:7" s="258" customFormat="1">
      <c r="A81" s="352"/>
      <c r="B81" s="256"/>
      <c r="C81" s="256"/>
      <c r="D81" s="256"/>
      <c r="E81" s="256"/>
      <c r="F81" s="256"/>
      <c r="G81" s="256"/>
    </row>
    <row r="82" spans="1:7" s="258" customFormat="1">
      <c r="A82" s="352"/>
      <c r="B82" s="256"/>
      <c r="C82" s="256"/>
      <c r="D82" s="256"/>
      <c r="E82" s="256"/>
      <c r="F82" s="256"/>
      <c r="G82" s="256"/>
    </row>
    <row r="83" spans="1:7" s="258" customFormat="1">
      <c r="A83" s="352"/>
      <c r="B83" s="256"/>
      <c r="C83" s="256"/>
      <c r="D83" s="256"/>
      <c r="E83" s="256"/>
      <c r="F83" s="256"/>
      <c r="G83" s="256"/>
    </row>
    <row r="84" spans="1:7" s="258" customFormat="1">
      <c r="A84" s="352"/>
      <c r="B84" s="256"/>
      <c r="C84" s="256"/>
      <c r="D84" s="256"/>
      <c r="E84" s="256"/>
      <c r="F84" s="256"/>
      <c r="G84" s="256"/>
    </row>
    <row r="85" spans="1:7" s="258" customFormat="1">
      <c r="A85" s="352"/>
      <c r="B85" s="256"/>
      <c r="C85" s="256"/>
      <c r="D85" s="256"/>
      <c r="E85" s="256"/>
      <c r="F85" s="256"/>
      <c r="G85" s="256"/>
    </row>
    <row r="86" spans="1:7" s="258" customFormat="1">
      <c r="A86" s="352"/>
      <c r="B86" s="256"/>
      <c r="C86" s="256"/>
      <c r="D86" s="256"/>
      <c r="E86" s="256"/>
      <c r="F86" s="256"/>
      <c r="G86" s="256"/>
    </row>
    <row r="87" spans="1:7" s="258" customFormat="1">
      <c r="A87" s="352"/>
      <c r="B87" s="256"/>
      <c r="C87" s="256"/>
      <c r="D87" s="256"/>
      <c r="E87" s="256"/>
      <c r="F87" s="256"/>
      <c r="G87" s="256"/>
    </row>
    <row r="88" spans="1:7" s="258" customFormat="1">
      <c r="A88" s="352"/>
      <c r="B88" s="256"/>
      <c r="C88" s="256"/>
      <c r="D88" s="256"/>
      <c r="E88" s="256"/>
      <c r="F88" s="256"/>
      <c r="G88" s="256"/>
    </row>
    <row r="89" spans="1:7" s="258" customFormat="1">
      <c r="A89" s="352"/>
      <c r="B89" s="256"/>
      <c r="C89" s="256"/>
      <c r="D89" s="256"/>
      <c r="E89" s="256"/>
      <c r="F89" s="256"/>
      <c r="G89" s="256"/>
    </row>
    <row r="90" spans="1:7" s="258" customFormat="1">
      <c r="A90" s="352"/>
      <c r="B90" s="256"/>
      <c r="C90" s="256"/>
      <c r="D90" s="256"/>
      <c r="E90" s="256"/>
      <c r="F90" s="256"/>
      <c r="G90" s="256"/>
    </row>
    <row r="91" spans="1:7" s="258" customFormat="1">
      <c r="A91" s="352"/>
      <c r="B91" s="256"/>
      <c r="C91" s="256"/>
      <c r="D91" s="256"/>
      <c r="E91" s="256"/>
      <c r="F91" s="256"/>
      <c r="G91" s="256"/>
    </row>
    <row r="92" spans="1:7" s="258" customFormat="1">
      <c r="A92" s="352"/>
      <c r="B92" s="256"/>
      <c r="C92" s="256"/>
      <c r="D92" s="256"/>
      <c r="E92" s="256"/>
      <c r="F92" s="256"/>
      <c r="G92" s="256"/>
    </row>
    <row r="93" spans="1:7" s="258" customFormat="1">
      <c r="A93" s="352"/>
      <c r="B93" s="256"/>
      <c r="C93" s="256"/>
      <c r="D93" s="256"/>
      <c r="E93" s="256"/>
      <c r="F93" s="256"/>
      <c r="G93" s="256"/>
    </row>
    <row r="94" spans="1:7" s="258" customFormat="1">
      <c r="A94" s="352"/>
      <c r="B94" s="256"/>
      <c r="C94" s="256"/>
      <c r="D94" s="256"/>
      <c r="E94" s="256"/>
      <c r="F94" s="256"/>
      <c r="G94" s="256"/>
    </row>
    <row r="95" spans="1:7" s="258" customFormat="1">
      <c r="A95" s="352"/>
      <c r="B95" s="256"/>
      <c r="C95" s="256"/>
      <c r="D95" s="256"/>
      <c r="E95" s="256"/>
      <c r="F95" s="256"/>
      <c r="G95" s="256"/>
    </row>
    <row r="96" spans="1:7" s="258" customFormat="1">
      <c r="A96" s="352"/>
      <c r="B96" s="256"/>
      <c r="C96" s="256"/>
      <c r="D96" s="256"/>
      <c r="E96" s="256"/>
      <c r="F96" s="256"/>
      <c r="G96" s="256"/>
    </row>
    <row r="97" spans="1:7" s="258" customFormat="1">
      <c r="A97" s="352"/>
      <c r="B97" s="256"/>
      <c r="C97" s="256"/>
      <c r="D97" s="256"/>
      <c r="E97" s="256"/>
      <c r="F97" s="256"/>
      <c r="G97" s="256"/>
    </row>
    <row r="98" spans="1:7" s="258" customFormat="1">
      <c r="A98" s="352"/>
      <c r="B98" s="256"/>
      <c r="C98" s="256"/>
      <c r="D98" s="256"/>
      <c r="E98" s="256"/>
      <c r="F98" s="256"/>
      <c r="G98" s="256"/>
    </row>
    <row r="99" spans="1:7" s="258" customFormat="1">
      <c r="A99" s="352"/>
      <c r="B99" s="256"/>
      <c r="C99" s="256"/>
      <c r="D99" s="256"/>
      <c r="E99" s="256"/>
      <c r="F99" s="256"/>
      <c r="G99" s="256"/>
    </row>
    <row r="100" spans="1:7" s="258" customFormat="1">
      <c r="A100" s="352"/>
      <c r="B100" s="256"/>
      <c r="C100" s="256"/>
      <c r="D100" s="256"/>
      <c r="E100" s="256"/>
      <c r="F100" s="256"/>
      <c r="G100" s="256"/>
    </row>
    <row r="101" spans="1:7" s="258" customFormat="1">
      <c r="A101" s="352"/>
      <c r="B101" s="256"/>
      <c r="C101" s="256"/>
      <c r="D101" s="256"/>
      <c r="E101" s="256"/>
      <c r="F101" s="256"/>
      <c r="G101" s="256"/>
    </row>
    <row r="102" spans="1:7" s="258" customFormat="1">
      <c r="A102" s="352"/>
      <c r="B102" s="256"/>
      <c r="C102" s="256"/>
      <c r="D102" s="256"/>
      <c r="E102" s="256"/>
      <c r="F102" s="256"/>
      <c r="G102" s="256"/>
    </row>
    <row r="103" spans="1:7" s="258" customFormat="1">
      <c r="A103" s="352"/>
      <c r="B103" s="256"/>
      <c r="C103" s="256"/>
      <c r="D103" s="256"/>
      <c r="E103" s="256"/>
      <c r="F103" s="256"/>
      <c r="G103" s="256"/>
    </row>
    <row r="104" spans="1:7" s="258" customFormat="1">
      <c r="A104" s="352"/>
      <c r="B104" s="256"/>
      <c r="C104" s="256"/>
      <c r="D104" s="256"/>
      <c r="E104" s="256"/>
      <c r="F104" s="256"/>
      <c r="G104" s="256"/>
    </row>
    <row r="105" spans="1:7" s="258" customFormat="1">
      <c r="A105" s="352"/>
      <c r="B105" s="256"/>
      <c r="C105" s="256"/>
      <c r="D105" s="256"/>
      <c r="E105" s="256"/>
      <c r="F105" s="256"/>
      <c r="G105" s="256"/>
    </row>
    <row r="106" spans="1:7" s="258" customFormat="1">
      <c r="A106" s="352"/>
      <c r="B106" s="256"/>
      <c r="C106" s="256"/>
      <c r="D106" s="256"/>
      <c r="E106" s="256"/>
      <c r="F106" s="256"/>
      <c r="G106" s="256"/>
    </row>
    <row r="107" spans="1:7" s="258" customFormat="1">
      <c r="A107" s="352"/>
      <c r="B107" s="256"/>
      <c r="C107" s="256"/>
      <c r="D107" s="256"/>
      <c r="E107" s="256"/>
      <c r="F107" s="256"/>
      <c r="G107" s="256"/>
    </row>
    <row r="108" spans="1:7" s="258" customFormat="1">
      <c r="A108" s="352"/>
      <c r="B108" s="256"/>
      <c r="C108" s="256"/>
      <c r="D108" s="256"/>
      <c r="E108" s="256"/>
      <c r="F108" s="256"/>
      <c r="G108" s="256"/>
    </row>
    <row r="109" spans="1:7" s="258" customFormat="1">
      <c r="A109" s="352"/>
      <c r="B109" s="256"/>
      <c r="C109" s="256"/>
      <c r="D109" s="256"/>
      <c r="E109" s="256"/>
      <c r="F109" s="256"/>
      <c r="G109" s="256"/>
    </row>
    <row r="110" spans="1:7" s="258" customFormat="1">
      <c r="A110" s="352"/>
      <c r="B110" s="256"/>
      <c r="C110" s="256"/>
      <c r="D110" s="256"/>
      <c r="E110" s="256"/>
      <c r="F110" s="256"/>
      <c r="G110" s="256"/>
    </row>
    <row r="111" spans="1:7" s="258" customFormat="1">
      <c r="A111" s="352"/>
      <c r="B111" s="256"/>
      <c r="C111" s="256"/>
      <c r="D111" s="256"/>
      <c r="E111" s="256"/>
      <c r="F111" s="256"/>
      <c r="G111" s="256"/>
    </row>
    <row r="112" spans="1:7" s="258" customFormat="1">
      <c r="A112" s="352"/>
      <c r="B112" s="256"/>
      <c r="C112" s="256"/>
      <c r="D112" s="256"/>
      <c r="E112" s="256"/>
      <c r="F112" s="256"/>
      <c r="G112" s="256"/>
    </row>
    <row r="113" spans="1:7" s="258" customFormat="1">
      <c r="A113" s="352"/>
      <c r="B113" s="256"/>
      <c r="C113" s="256"/>
      <c r="D113" s="256"/>
      <c r="E113" s="256"/>
      <c r="F113" s="256"/>
      <c r="G113" s="256"/>
    </row>
    <row r="114" spans="1:7" s="258" customFormat="1">
      <c r="A114" s="352"/>
      <c r="B114" s="256"/>
      <c r="C114" s="256"/>
      <c r="D114" s="256"/>
      <c r="E114" s="256"/>
      <c r="F114" s="256"/>
      <c r="G114" s="256"/>
    </row>
    <row r="115" spans="1:7" s="258" customFormat="1">
      <c r="A115" s="352"/>
      <c r="B115" s="256"/>
      <c r="C115" s="256"/>
      <c r="D115" s="256"/>
      <c r="E115" s="256"/>
      <c r="F115" s="256"/>
      <c r="G115" s="256"/>
    </row>
    <row r="116" spans="1:7" s="258" customFormat="1">
      <c r="A116" s="352"/>
      <c r="B116" s="256"/>
      <c r="C116" s="256"/>
      <c r="D116" s="256"/>
      <c r="E116" s="256"/>
      <c r="F116" s="256"/>
      <c r="G116" s="256"/>
    </row>
    <row r="117" spans="1:7" s="258" customFormat="1">
      <c r="A117" s="352"/>
      <c r="B117" s="256"/>
      <c r="C117" s="256"/>
      <c r="D117" s="256"/>
      <c r="E117" s="256"/>
      <c r="F117" s="256"/>
      <c r="G117" s="256"/>
    </row>
    <row r="118" spans="1:7" s="258" customFormat="1">
      <c r="A118" s="352"/>
      <c r="B118" s="256"/>
      <c r="C118" s="256"/>
      <c r="D118" s="256"/>
      <c r="E118" s="256"/>
      <c r="F118" s="256"/>
      <c r="G118" s="256"/>
    </row>
    <row r="119" spans="1:7" s="258" customFormat="1">
      <c r="A119" s="352"/>
      <c r="B119" s="256"/>
      <c r="C119" s="256"/>
      <c r="D119" s="256"/>
      <c r="E119" s="256"/>
      <c r="F119" s="256"/>
      <c r="G119" s="256"/>
    </row>
    <row r="120" spans="1:7" s="258" customFormat="1">
      <c r="A120" s="352"/>
      <c r="B120" s="256"/>
      <c r="C120" s="256"/>
      <c r="D120" s="256"/>
      <c r="E120" s="256"/>
      <c r="F120" s="256"/>
      <c r="G120" s="256"/>
    </row>
    <row r="121" spans="1:7" s="258" customFormat="1">
      <c r="A121" s="352"/>
      <c r="B121" s="256"/>
      <c r="C121" s="256"/>
      <c r="D121" s="256"/>
      <c r="E121" s="256"/>
      <c r="F121" s="256"/>
      <c r="G121" s="256"/>
    </row>
    <row r="122" spans="1:7" s="258" customFormat="1">
      <c r="A122" s="352"/>
      <c r="B122" s="256"/>
      <c r="C122" s="256"/>
      <c r="D122" s="256"/>
      <c r="E122" s="256"/>
      <c r="F122" s="256"/>
      <c r="G122" s="256"/>
    </row>
    <row r="123" spans="1:7" s="258" customFormat="1">
      <c r="A123" s="352"/>
      <c r="B123" s="256"/>
      <c r="C123" s="256"/>
      <c r="D123" s="256"/>
      <c r="E123" s="256"/>
      <c r="F123" s="256"/>
      <c r="G123" s="256"/>
    </row>
    <row r="124" spans="1:7" s="258" customFormat="1">
      <c r="A124" s="352"/>
      <c r="B124" s="256"/>
      <c r="C124" s="256"/>
      <c r="D124" s="256"/>
      <c r="E124" s="256"/>
      <c r="F124" s="256"/>
      <c r="G124" s="256"/>
    </row>
    <row r="125" spans="1:7" s="258" customFormat="1">
      <c r="A125" s="352"/>
      <c r="B125" s="256"/>
      <c r="C125" s="256"/>
      <c r="D125" s="256"/>
      <c r="E125" s="256"/>
      <c r="F125" s="256"/>
      <c r="G125" s="256"/>
    </row>
    <row r="126" spans="1:7" s="258" customFormat="1">
      <c r="A126" s="352"/>
      <c r="B126" s="256"/>
      <c r="C126" s="256"/>
      <c r="D126" s="256"/>
      <c r="E126" s="256"/>
      <c r="F126" s="256"/>
      <c r="G126" s="256"/>
    </row>
    <row r="127" spans="1:7" s="258" customFormat="1">
      <c r="A127" s="352"/>
      <c r="B127" s="256"/>
      <c r="C127" s="256"/>
      <c r="D127" s="256"/>
      <c r="E127" s="256"/>
      <c r="F127" s="256"/>
      <c r="G127" s="256"/>
    </row>
    <row r="128" spans="1:7" s="258" customFormat="1">
      <c r="A128" s="352"/>
      <c r="B128" s="256"/>
      <c r="C128" s="256"/>
      <c r="D128" s="256"/>
      <c r="E128" s="256"/>
      <c r="F128" s="256"/>
      <c r="G128" s="256"/>
    </row>
    <row r="129" spans="1:7" s="258" customFormat="1">
      <c r="A129" s="352"/>
      <c r="B129" s="256"/>
      <c r="C129" s="256"/>
      <c r="D129" s="256"/>
      <c r="E129" s="256"/>
      <c r="F129" s="256"/>
      <c r="G129" s="256"/>
    </row>
    <row r="130" spans="1:7" s="258" customFormat="1">
      <c r="A130" s="352"/>
      <c r="B130" s="256"/>
      <c r="C130" s="256"/>
      <c r="D130" s="256"/>
      <c r="E130" s="256"/>
      <c r="F130" s="256"/>
      <c r="G130" s="256"/>
    </row>
    <row r="131" spans="1:7" s="258" customFormat="1">
      <c r="A131" s="352"/>
      <c r="B131" s="256"/>
      <c r="C131" s="256"/>
      <c r="D131" s="256"/>
      <c r="E131" s="256"/>
      <c r="F131" s="256"/>
      <c r="G131" s="256"/>
    </row>
    <row r="132" spans="1:7" s="258" customFormat="1">
      <c r="A132" s="352"/>
      <c r="B132" s="256"/>
      <c r="C132" s="256"/>
      <c r="D132" s="256"/>
      <c r="E132" s="256"/>
      <c r="F132" s="256"/>
      <c r="G132" s="256"/>
    </row>
    <row r="133" spans="1:7" s="258" customFormat="1">
      <c r="A133" s="352"/>
      <c r="B133" s="256"/>
      <c r="C133" s="256"/>
      <c r="D133" s="256"/>
      <c r="E133" s="256"/>
      <c r="F133" s="256"/>
      <c r="G133" s="256"/>
    </row>
    <row r="134" spans="1:7" s="258" customFormat="1">
      <c r="A134" s="352"/>
      <c r="B134" s="256"/>
      <c r="C134" s="256"/>
      <c r="D134" s="256"/>
      <c r="E134" s="256"/>
      <c r="F134" s="256"/>
      <c r="G134" s="256"/>
    </row>
    <row r="135" spans="1:7" s="258" customFormat="1">
      <c r="A135" s="352"/>
      <c r="B135" s="256"/>
      <c r="C135" s="256"/>
      <c r="D135" s="256"/>
      <c r="E135" s="256"/>
      <c r="F135" s="256"/>
      <c r="G135" s="256"/>
    </row>
    <row r="136" spans="1:7" s="258" customFormat="1">
      <c r="A136" s="352"/>
      <c r="B136" s="256"/>
      <c r="C136" s="256"/>
      <c r="D136" s="256"/>
      <c r="E136" s="256"/>
      <c r="F136" s="256"/>
      <c r="G136" s="256"/>
    </row>
    <row r="137" spans="1:7" s="258" customFormat="1">
      <c r="A137" s="352"/>
      <c r="B137" s="256"/>
      <c r="C137" s="256"/>
      <c r="D137" s="256"/>
      <c r="E137" s="256"/>
      <c r="F137" s="256"/>
      <c r="G137" s="256"/>
    </row>
    <row r="138" spans="1:7" s="258" customFormat="1">
      <c r="A138" s="352"/>
      <c r="B138" s="256"/>
      <c r="C138" s="256"/>
      <c r="D138" s="256"/>
      <c r="E138" s="256"/>
      <c r="F138" s="256"/>
      <c r="G138" s="256"/>
    </row>
    <row r="139" spans="1:7" s="258" customFormat="1">
      <c r="A139" s="352"/>
      <c r="B139" s="256"/>
      <c r="C139" s="256"/>
      <c r="D139" s="256"/>
      <c r="E139" s="256"/>
      <c r="F139" s="256"/>
      <c r="G139" s="256"/>
    </row>
    <row r="140" spans="1:7" s="258" customFormat="1">
      <c r="A140" s="352"/>
      <c r="B140" s="256"/>
      <c r="C140" s="256"/>
      <c r="D140" s="256"/>
      <c r="E140" s="256"/>
      <c r="F140" s="256"/>
      <c r="G140" s="256"/>
    </row>
    <row r="141" spans="1:7" s="258" customFormat="1">
      <c r="A141" s="352"/>
      <c r="B141" s="256"/>
      <c r="C141" s="256"/>
      <c r="D141" s="256"/>
      <c r="E141" s="256"/>
      <c r="F141" s="256"/>
      <c r="G141" s="256"/>
    </row>
    <row r="142" spans="1:7" s="258" customFormat="1">
      <c r="A142" s="352"/>
      <c r="B142" s="256"/>
      <c r="C142" s="256"/>
      <c r="D142" s="256"/>
      <c r="E142" s="256"/>
      <c r="F142" s="256"/>
      <c r="G142" s="256"/>
    </row>
    <row r="143" spans="1:7" s="258" customFormat="1">
      <c r="A143" s="352"/>
      <c r="B143" s="256"/>
      <c r="C143" s="256"/>
      <c r="D143" s="256"/>
      <c r="E143" s="256"/>
      <c r="F143" s="256"/>
      <c r="G143" s="256"/>
    </row>
    <row r="144" spans="1:7" s="258" customFormat="1">
      <c r="A144" s="352"/>
      <c r="B144" s="256"/>
      <c r="C144" s="256"/>
      <c r="D144" s="256"/>
      <c r="E144" s="256"/>
      <c r="F144" s="256"/>
      <c r="G144" s="256"/>
    </row>
    <row r="145" spans="1:7" s="258" customFormat="1">
      <c r="A145" s="352"/>
      <c r="B145" s="256"/>
      <c r="C145" s="256"/>
      <c r="D145" s="256"/>
      <c r="E145" s="256"/>
      <c r="F145" s="256"/>
      <c r="G145" s="256"/>
    </row>
    <row r="146" spans="1:7" s="258" customFormat="1">
      <c r="A146" s="352"/>
      <c r="B146" s="256"/>
      <c r="C146" s="256"/>
      <c r="D146" s="256"/>
      <c r="E146" s="256"/>
      <c r="F146" s="256"/>
      <c r="G146" s="256"/>
    </row>
    <row r="147" spans="1:7" s="258" customFormat="1">
      <c r="A147" s="352"/>
      <c r="B147" s="256"/>
      <c r="C147" s="256"/>
      <c r="D147" s="256"/>
      <c r="E147" s="256"/>
      <c r="F147" s="256"/>
      <c r="G147" s="256"/>
    </row>
    <row r="148" spans="1:7" s="258" customFormat="1">
      <c r="A148" s="352"/>
      <c r="B148" s="256"/>
      <c r="C148" s="256"/>
      <c r="D148" s="256"/>
      <c r="E148" s="256"/>
      <c r="F148" s="256"/>
      <c r="G148" s="256"/>
    </row>
    <row r="149" spans="1:7" s="258" customFormat="1">
      <c r="A149" s="352"/>
      <c r="B149" s="256"/>
      <c r="C149" s="256"/>
      <c r="D149" s="256"/>
      <c r="E149" s="256"/>
      <c r="F149" s="256"/>
      <c r="G149" s="256"/>
    </row>
    <row r="150" spans="1:7" s="258" customFormat="1">
      <c r="A150" s="352"/>
      <c r="B150" s="256"/>
      <c r="C150" s="256"/>
      <c r="D150" s="256"/>
      <c r="E150" s="256"/>
      <c r="F150" s="256"/>
      <c r="G150" s="256"/>
    </row>
    <row r="151" spans="1:7" s="258" customFormat="1">
      <c r="A151" s="352"/>
      <c r="B151" s="256"/>
      <c r="C151" s="256"/>
      <c r="D151" s="256"/>
      <c r="E151" s="256"/>
      <c r="F151" s="256"/>
      <c r="G151" s="256"/>
    </row>
    <row r="152" spans="1:7" s="258" customFormat="1">
      <c r="A152" s="352"/>
      <c r="B152" s="256"/>
      <c r="C152" s="256"/>
      <c r="D152" s="256"/>
      <c r="E152" s="256"/>
      <c r="F152" s="256"/>
      <c r="G152" s="256"/>
    </row>
    <row r="153" spans="1:7" s="258" customFormat="1">
      <c r="A153" s="352"/>
      <c r="B153" s="256"/>
      <c r="C153" s="256"/>
      <c r="D153" s="256"/>
      <c r="E153" s="256"/>
      <c r="F153" s="256"/>
      <c r="G153" s="256"/>
    </row>
    <row r="154" spans="1:7" s="258" customFormat="1">
      <c r="A154" s="352"/>
      <c r="B154" s="256"/>
      <c r="C154" s="256"/>
      <c r="D154" s="256"/>
      <c r="E154" s="256"/>
      <c r="F154" s="256"/>
      <c r="G154" s="256"/>
    </row>
    <row r="155" spans="1:7" s="258" customFormat="1">
      <c r="A155" s="352"/>
      <c r="B155" s="256"/>
      <c r="C155" s="256"/>
      <c r="D155" s="256"/>
      <c r="E155" s="256"/>
      <c r="F155" s="256"/>
      <c r="G155" s="256"/>
    </row>
    <row r="156" spans="1:7" s="258" customFormat="1">
      <c r="A156" s="352"/>
      <c r="B156" s="256"/>
      <c r="C156" s="256"/>
      <c r="D156" s="256"/>
      <c r="E156" s="256"/>
      <c r="F156" s="256"/>
      <c r="G156" s="256"/>
    </row>
    <row r="157" spans="1:7" s="258" customFormat="1">
      <c r="A157" s="352"/>
      <c r="B157" s="256"/>
      <c r="C157" s="256"/>
      <c r="D157" s="256"/>
      <c r="E157" s="256"/>
      <c r="F157" s="256"/>
      <c r="G157" s="256"/>
    </row>
    <row r="158" spans="1:7" s="258" customFormat="1">
      <c r="A158" s="352"/>
      <c r="B158" s="256"/>
      <c r="C158" s="256"/>
      <c r="D158" s="256"/>
      <c r="E158" s="256"/>
      <c r="F158" s="256"/>
      <c r="G158" s="256"/>
    </row>
    <row r="159" spans="1:7" s="258" customFormat="1">
      <c r="A159" s="352"/>
      <c r="B159" s="256"/>
      <c r="C159" s="256"/>
      <c r="D159" s="256"/>
      <c r="E159" s="256"/>
      <c r="F159" s="256"/>
      <c r="G159" s="256"/>
    </row>
    <row r="160" spans="1:7" s="258" customFormat="1">
      <c r="A160" s="352"/>
      <c r="B160" s="356"/>
      <c r="C160" s="356"/>
      <c r="D160" s="256"/>
      <c r="E160" s="256"/>
      <c r="F160" s="256"/>
      <c r="G160" s="256"/>
    </row>
    <row r="161" spans="1:7" s="258" customFormat="1">
      <c r="A161" s="352"/>
      <c r="B161" s="356"/>
      <c r="C161" s="356"/>
      <c r="D161" s="256"/>
      <c r="E161" s="256"/>
      <c r="F161" s="256"/>
      <c r="G161" s="256"/>
    </row>
    <row r="162" spans="1:7" s="258" customFormat="1">
      <c r="A162" s="352"/>
      <c r="B162" s="356"/>
      <c r="C162" s="356"/>
      <c r="D162" s="256"/>
      <c r="E162" s="256"/>
      <c r="F162" s="256"/>
      <c r="G162" s="256"/>
    </row>
    <row r="163" spans="1:7" s="258" customFormat="1">
      <c r="A163" s="352"/>
      <c r="B163" s="356"/>
      <c r="C163" s="356"/>
      <c r="D163" s="256"/>
      <c r="E163" s="256"/>
      <c r="F163" s="256"/>
      <c r="G163" s="256"/>
    </row>
    <row r="164" spans="1:7" s="258" customFormat="1">
      <c r="A164" s="352"/>
      <c r="B164" s="356"/>
      <c r="C164" s="356"/>
      <c r="D164" s="256"/>
      <c r="E164" s="256"/>
      <c r="F164" s="256"/>
      <c r="G164" s="256"/>
    </row>
    <row r="165" spans="1:7" s="258" customFormat="1">
      <c r="A165" s="352"/>
      <c r="B165" s="356"/>
      <c r="C165" s="356"/>
      <c r="D165" s="256"/>
      <c r="E165" s="256"/>
      <c r="F165" s="256"/>
      <c r="G165" s="256"/>
    </row>
    <row r="166" spans="1:7" s="258" customFormat="1">
      <c r="A166" s="352"/>
      <c r="B166" s="356"/>
      <c r="C166" s="356"/>
      <c r="D166" s="256"/>
      <c r="E166" s="256"/>
      <c r="F166" s="256"/>
      <c r="G166" s="256"/>
    </row>
    <row r="167" spans="1:7" s="258" customFormat="1">
      <c r="A167" s="352"/>
      <c r="B167" s="356"/>
      <c r="C167" s="356"/>
      <c r="D167" s="256"/>
      <c r="E167" s="256"/>
      <c r="F167" s="256"/>
      <c r="G167" s="256"/>
    </row>
    <row r="168" spans="1:7" s="258" customFormat="1">
      <c r="A168" s="352"/>
      <c r="B168" s="356"/>
      <c r="C168" s="356"/>
      <c r="D168" s="256"/>
      <c r="E168" s="256"/>
      <c r="F168" s="256"/>
      <c r="G168" s="256"/>
    </row>
    <row r="169" spans="1:7" s="258" customFormat="1">
      <c r="A169" s="352"/>
      <c r="B169" s="356"/>
      <c r="C169" s="356"/>
      <c r="D169" s="256"/>
      <c r="E169" s="256"/>
      <c r="F169" s="256"/>
      <c r="G169" s="256"/>
    </row>
    <row r="170" spans="1:7" s="258" customFormat="1">
      <c r="A170" s="352"/>
      <c r="B170" s="356"/>
      <c r="C170" s="356"/>
      <c r="D170" s="256"/>
      <c r="E170" s="256"/>
      <c r="F170" s="256"/>
      <c r="G170" s="256"/>
    </row>
    <row r="171" spans="1:7" s="258" customFormat="1">
      <c r="A171" s="352"/>
      <c r="B171" s="356"/>
      <c r="C171" s="356"/>
      <c r="D171" s="256"/>
      <c r="E171" s="256"/>
      <c r="F171" s="256"/>
      <c r="G171" s="256"/>
    </row>
    <row r="172" spans="1:7" s="258" customFormat="1">
      <c r="A172" s="352"/>
      <c r="B172" s="356"/>
      <c r="C172" s="356"/>
      <c r="D172" s="256"/>
      <c r="E172" s="256"/>
      <c r="F172" s="256"/>
      <c r="G172" s="256"/>
    </row>
    <row r="173" spans="1:7" s="258" customFormat="1">
      <c r="A173" s="352"/>
      <c r="B173" s="356"/>
      <c r="C173" s="356"/>
      <c r="D173" s="256"/>
      <c r="E173" s="256"/>
      <c r="F173" s="256"/>
      <c r="G173" s="256"/>
    </row>
    <row r="174" spans="1:7" s="258" customFormat="1">
      <c r="A174" s="352"/>
      <c r="B174" s="356"/>
      <c r="C174" s="356"/>
      <c r="D174" s="256"/>
      <c r="E174" s="256"/>
      <c r="F174" s="256"/>
      <c r="G174" s="256"/>
    </row>
    <row r="175" spans="1:7" s="258" customFormat="1">
      <c r="A175" s="352"/>
      <c r="B175" s="356"/>
      <c r="C175" s="356"/>
      <c r="D175" s="256"/>
      <c r="E175" s="256"/>
      <c r="F175" s="256"/>
      <c r="G175" s="256"/>
    </row>
    <row r="176" spans="1:7" s="258" customFormat="1">
      <c r="A176" s="352"/>
      <c r="B176" s="356"/>
      <c r="C176" s="356"/>
      <c r="D176" s="256"/>
      <c r="E176" s="256"/>
      <c r="F176" s="256"/>
      <c r="G176" s="256"/>
    </row>
    <row r="177" spans="1:7" s="258" customFormat="1">
      <c r="A177" s="352"/>
      <c r="B177" s="356"/>
      <c r="C177" s="356"/>
      <c r="D177" s="256"/>
      <c r="E177" s="256"/>
      <c r="F177" s="256"/>
      <c r="G177" s="256"/>
    </row>
    <row r="178" spans="1:7" s="258" customFormat="1">
      <c r="A178" s="352"/>
      <c r="B178" s="356"/>
      <c r="C178" s="356"/>
      <c r="D178" s="256"/>
      <c r="E178" s="256"/>
      <c r="F178" s="256"/>
      <c r="G178" s="256"/>
    </row>
    <row r="179" spans="1:7" s="258" customFormat="1">
      <c r="A179" s="352"/>
      <c r="B179" s="356"/>
      <c r="C179" s="356"/>
      <c r="D179" s="256"/>
      <c r="E179" s="256"/>
      <c r="F179" s="256"/>
      <c r="G179" s="256"/>
    </row>
    <row r="180" spans="1:7" s="258" customFormat="1">
      <c r="A180" s="352"/>
      <c r="B180" s="356"/>
      <c r="C180" s="356"/>
      <c r="D180" s="256"/>
      <c r="E180" s="256"/>
      <c r="F180" s="256"/>
      <c r="G180" s="256"/>
    </row>
    <row r="181" spans="1:7" s="258" customFormat="1">
      <c r="A181" s="352"/>
      <c r="B181" s="356"/>
      <c r="C181" s="356"/>
      <c r="D181" s="256"/>
      <c r="E181" s="256"/>
      <c r="F181" s="256"/>
      <c r="G181" s="256"/>
    </row>
    <row r="182" spans="1:7" s="258" customFormat="1">
      <c r="A182" s="352"/>
      <c r="B182" s="356"/>
      <c r="C182" s="356"/>
      <c r="D182" s="256"/>
      <c r="E182" s="256"/>
      <c r="F182" s="256"/>
      <c r="G182" s="256"/>
    </row>
    <row r="183" spans="1:7" s="258" customFormat="1">
      <c r="A183" s="352"/>
      <c r="B183" s="356"/>
      <c r="C183" s="356"/>
      <c r="D183" s="256"/>
      <c r="E183" s="256"/>
      <c r="F183" s="256"/>
      <c r="G183" s="256"/>
    </row>
    <row r="184" spans="1:7" s="258" customFormat="1">
      <c r="A184" s="352"/>
      <c r="B184" s="356"/>
      <c r="C184" s="356"/>
      <c r="D184" s="256"/>
      <c r="E184" s="256"/>
      <c r="F184" s="256"/>
      <c r="G184" s="256"/>
    </row>
    <row r="185" spans="1:7" s="258" customFormat="1">
      <c r="A185" s="352"/>
      <c r="B185" s="356"/>
      <c r="C185" s="356"/>
      <c r="D185" s="256"/>
      <c r="E185" s="256"/>
      <c r="F185" s="256"/>
      <c r="G185" s="256"/>
    </row>
    <row r="186" spans="1:7" s="258" customFormat="1">
      <c r="A186" s="352"/>
      <c r="B186" s="356"/>
      <c r="C186" s="356"/>
      <c r="D186" s="256"/>
      <c r="E186" s="256"/>
      <c r="F186" s="256"/>
      <c r="G186" s="256"/>
    </row>
    <row r="187" spans="1:7" s="258" customFormat="1">
      <c r="A187" s="352"/>
      <c r="B187" s="356"/>
      <c r="C187" s="356"/>
      <c r="D187" s="256"/>
      <c r="E187" s="256"/>
      <c r="F187" s="256"/>
      <c r="G187" s="256"/>
    </row>
    <row r="188" spans="1:7" s="258" customFormat="1">
      <c r="A188" s="352"/>
      <c r="B188" s="356"/>
      <c r="C188" s="356"/>
      <c r="D188" s="256"/>
      <c r="E188" s="256"/>
      <c r="F188" s="256"/>
      <c r="G188" s="256"/>
    </row>
    <row r="189" spans="1:7" s="258" customFormat="1">
      <c r="A189" s="352"/>
      <c r="B189" s="356"/>
      <c r="C189" s="356"/>
      <c r="D189" s="256"/>
      <c r="E189" s="256"/>
      <c r="F189" s="256"/>
      <c r="G189" s="256"/>
    </row>
    <row r="190" spans="1:7" s="258" customFormat="1">
      <c r="A190" s="352"/>
      <c r="B190" s="356"/>
      <c r="C190" s="356"/>
      <c r="D190" s="256"/>
      <c r="E190" s="256"/>
      <c r="F190" s="256"/>
      <c r="G190" s="256"/>
    </row>
    <row r="191" spans="1:7" s="258" customFormat="1">
      <c r="A191" s="352"/>
      <c r="B191" s="356"/>
      <c r="C191" s="356"/>
      <c r="D191" s="256"/>
      <c r="E191" s="256"/>
      <c r="F191" s="256"/>
      <c r="G191" s="256"/>
    </row>
    <row r="192" spans="1:7" s="258" customFormat="1">
      <c r="A192" s="352"/>
      <c r="B192" s="356"/>
      <c r="C192" s="356"/>
      <c r="D192" s="256"/>
      <c r="E192" s="256"/>
      <c r="F192" s="256"/>
      <c r="G192" s="256"/>
    </row>
    <row r="193" spans="1:7" s="258" customFormat="1">
      <c r="A193" s="352"/>
      <c r="B193" s="356"/>
      <c r="C193" s="356"/>
      <c r="D193" s="256"/>
      <c r="E193" s="256"/>
      <c r="F193" s="256"/>
      <c r="G193" s="256"/>
    </row>
    <row r="194" spans="1:7" s="258" customFormat="1">
      <c r="A194" s="352"/>
      <c r="B194" s="356"/>
      <c r="C194" s="356"/>
      <c r="D194" s="256"/>
      <c r="E194" s="256"/>
      <c r="F194" s="256"/>
      <c r="G194" s="256"/>
    </row>
  </sheetData>
  <sheetProtection formatCells="0" formatColumns="0" formatRows="0" insertColumns="0" insertRows="0" insertHyperlinks="0" deleteColumns="0" deleteRows="0" sort="0" autoFilter="0" pivotTables="0"/>
  <mergeCells count="3">
    <mergeCell ref="B1:C1"/>
    <mergeCell ref="D1:E1"/>
    <mergeCell ref="F1:G1"/>
  </mergeCells>
  <hyperlinks>
    <hyperlink ref="H1" location="ГЛАВНАЯ!A1" display="На главную" xr:uid="{00000000-0004-0000-0500-000000000000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39</vt:i4>
      </vt:variant>
    </vt:vector>
  </HeadingPairs>
  <TitlesOfParts>
    <vt:vector size="39" baseType="lpstr">
      <vt:lpstr>ГЛАВНАЯ</vt:lpstr>
      <vt:lpstr>ЛП лоток перф</vt:lpstr>
      <vt:lpstr>ЛГ лоток глухой</vt:lpstr>
      <vt:lpstr>ЛП лоток перф (2)</vt:lpstr>
      <vt:lpstr>ЛГ лоток глухой (2)</vt:lpstr>
      <vt:lpstr>КЛ Крышка лотка</vt:lpstr>
      <vt:lpstr>Аксессуары (углы,повороты)</vt:lpstr>
      <vt:lpstr>Перегородка и заглушка</vt:lpstr>
      <vt:lpstr>НЛ Лестничный лоток</vt:lpstr>
      <vt:lpstr>Проволчный лоток</vt:lpstr>
      <vt:lpstr>КЛ Крышка лотка (2)</vt:lpstr>
      <vt:lpstr>Системы подвеса</vt:lpstr>
      <vt:lpstr>ГЭМ Полки,Стойки </vt:lpstr>
      <vt:lpstr>Полки,Стойки (2)</vt:lpstr>
      <vt:lpstr>Профиля U,Z,L</vt:lpstr>
      <vt:lpstr>Профиль (2)</vt:lpstr>
      <vt:lpstr>Аксессуары (2)</vt:lpstr>
      <vt:lpstr>Проволчный лоток (2)</vt:lpstr>
      <vt:lpstr>НЛ Лестничный лоток (2)</vt:lpstr>
      <vt:lpstr>Системы подвеса (2)</vt:lpstr>
      <vt:lpstr>Крепеж</vt:lpstr>
      <vt:lpstr>Страт-профиль</vt:lpstr>
      <vt:lpstr>Страт-стойки</vt:lpstr>
      <vt:lpstr>Страт-консоли</vt:lpstr>
      <vt:lpstr>Страт-монтажные элементы</vt:lpstr>
      <vt:lpstr>Пожарные шкафы</vt:lpstr>
      <vt:lpstr>Короба кабельные ККБ</vt:lpstr>
      <vt:lpstr>Щитовое оборудование</vt:lpstr>
      <vt:lpstr>Крепеж (2)</vt:lpstr>
      <vt:lpstr>Strut</vt:lpstr>
      <vt:lpstr>Strut (2)</vt:lpstr>
      <vt:lpstr>Стойки Strut </vt:lpstr>
      <vt:lpstr>Стойки Strut  (2)</vt:lpstr>
      <vt:lpstr>Кронштейны Strut</vt:lpstr>
      <vt:lpstr>Кронштейны Strut (2)</vt:lpstr>
      <vt:lpstr>Крепеж для Strut</vt:lpstr>
      <vt:lpstr>Крепеж для Strut (2)</vt:lpstr>
      <vt:lpstr>Цены на металл </vt:lpstr>
      <vt:lpstr>Соеденители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2023-03-17T12:39:13Z</dcterms:modified>
</cp:coreProperties>
</file>